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142" documentId="8_{A63EAD36-C8A1-4D14-9169-83C3CE635955}" xr6:coauthVersionLast="47" xr6:coauthVersionMax="47" xr10:uidLastSave="{3E9142DB-399D-481E-823D-55E099556ABB}"/>
  <bookViews>
    <workbookView xWindow="-120" yWindow="-16320" windowWidth="29040" windowHeight="15720" xr2:uid="{00000000-000D-0000-FFFF-FFFF00000000}"/>
  </bookViews>
  <sheets>
    <sheet name="App D - Council Tax" sheetId="1" r:id="rId1"/>
  </sheets>
  <definedNames>
    <definedName name="allofit">#REF!</definedName>
    <definedName name="allofit2">#REF!</definedName>
    <definedName name="Area_Committee_Sum_Codes">#REF!</definedName>
    <definedName name="Area_Cttee_Codes">#REF!</definedName>
    <definedName name="BSheet">#REF!</definedName>
    <definedName name="BSheet01">#REF!</definedName>
    <definedName name="BSheet02">#REF!</definedName>
    <definedName name="CBSNotes01">#REF!</definedName>
    <definedName name="CBSNotes02">#REF!</definedName>
    <definedName name="CBSNotes03">#REF!</definedName>
    <definedName name="CBSNotes04">#REF!</definedName>
    <definedName name="CFBands">#REF!</definedName>
    <definedName name="CFFund">#REF!</definedName>
    <definedName name="CFIncExp">#REF!</definedName>
    <definedName name="CODES">#REF!</definedName>
    <definedName name="codes2">#REF!</definedName>
    <definedName name="GF_Codes">#REF!</definedName>
    <definedName name="HTML_CodePage" hidden="1">1252</definedName>
    <definedName name="HTML_Control" hidden="1">{"'HRA HTML'!$A$1:$D$41"}</definedName>
    <definedName name="html_control1" hidden="1">{"'HRA HTML'!$A$1:$D$41"}</definedName>
    <definedName name="HTML_Description" hidden="1">"Original Budget 2000/01; Revised Budget 2000/01 and Budget 2001/02"</definedName>
    <definedName name="HTML_Email" hidden="1">""</definedName>
    <definedName name="HTML_Header" hidden="1">"Housing Revenue Account"</definedName>
    <definedName name="HTML_LastUpdate" hidden="1">"05/12/2000"</definedName>
    <definedName name="HTML_LineAfter" hidden="1">TRUE</definedName>
    <definedName name="HTML_LineBefore" hidden="1">TRUE</definedName>
    <definedName name="HTML_Name" hidden="1">"Robert Cork"</definedName>
    <definedName name="HTML_OBDlg2" hidden="1">TRUE</definedName>
    <definedName name="HTML_OBDlg4" hidden="1">TRUE</definedName>
    <definedName name="HTML_OS" hidden="1">0</definedName>
    <definedName name="HTML_PathFile" hidden="1">"Z:\Accounts\RCork\Budget\Bud20012002\Test001.htm"</definedName>
    <definedName name="HTML_Title" hidden="1">"Budget 2001/02"</definedName>
    <definedName name="opsk15">#REF!</definedName>
    <definedName name="_xlnm.Print_Area" localSheetId="0">'App D - Council Tax'!$A$1:$AA$37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P38" i="1"/>
  <c r="B23" i="1"/>
  <c r="E23" i="1" s="1"/>
  <c r="D17" i="1"/>
  <c r="B19" i="1"/>
  <c r="B18" i="1" s="1"/>
  <c r="B17" i="1" s="1"/>
  <c r="N15" i="1"/>
  <c r="B27" i="1"/>
  <c r="B28" i="1" s="1"/>
  <c r="B29" i="1" s="1"/>
  <c r="B30" i="1" s="1"/>
  <c r="B31" i="1" s="1"/>
  <c r="E15" i="1" l="1"/>
  <c r="E17" i="1"/>
  <c r="K17" i="1" s="1"/>
  <c r="N17" i="1" s="1"/>
  <c r="L24" i="1"/>
  <c r="R15" i="1" l="1"/>
  <c r="D18" i="1"/>
  <c r="D19" i="1" s="1"/>
  <c r="D20" i="1" s="1"/>
  <c r="D21" i="1" s="1"/>
  <c r="D22" i="1" s="1"/>
  <c r="D23" i="1" s="1"/>
  <c r="C18" i="1"/>
  <c r="C19" i="1" s="1"/>
  <c r="C20" i="1" s="1"/>
  <c r="E18" i="1" l="1"/>
  <c r="U18" i="1" s="1"/>
  <c r="C27" i="1"/>
  <c r="C21" i="1"/>
  <c r="E20" i="1"/>
  <c r="K20" i="1" s="1"/>
  <c r="N20" i="1" s="1"/>
  <c r="D27" i="1"/>
  <c r="D28" i="1" s="1"/>
  <c r="D29" i="1" s="1"/>
  <c r="E19" i="1"/>
  <c r="K19" i="1" s="1"/>
  <c r="N19" i="1" s="1"/>
  <c r="K18" i="1" l="1"/>
  <c r="E21" i="1"/>
  <c r="K21" i="1" s="1"/>
  <c r="N21" i="1" s="1"/>
  <c r="C22" i="1"/>
  <c r="B22" i="1" s="1"/>
  <c r="C28" i="1"/>
  <c r="L19" i="1"/>
  <c r="E27" i="1"/>
  <c r="K27" i="1" s="1"/>
  <c r="L20" i="1"/>
  <c r="U20" i="1"/>
  <c r="U19" i="1"/>
  <c r="E13" i="1"/>
  <c r="H13" i="1" s="1"/>
  <c r="K13" i="1" s="1"/>
  <c r="O13" i="1" s="1"/>
  <c r="P13" i="1" s="1"/>
  <c r="Q13" i="1" s="1"/>
  <c r="R13" i="1" s="1"/>
  <c r="S13" i="1" s="1"/>
  <c r="U13" i="1" s="1"/>
  <c r="O17" i="1"/>
  <c r="O18" i="1" s="1"/>
  <c r="P17" i="1"/>
  <c r="P18" i="1" s="1"/>
  <c r="P19" i="1" s="1"/>
  <c r="Q17" i="1"/>
  <c r="Q18" i="1" s="1"/>
  <c r="Q19" i="1" s="1"/>
  <c r="A35" i="1"/>
  <c r="Z18" i="1"/>
  <c r="AA18" i="1" s="1"/>
  <c r="Z19" i="1"/>
  <c r="AA19" i="1" s="1"/>
  <c r="Z20" i="1"/>
  <c r="AA20" i="1" s="1"/>
  <c r="Z27" i="1" l="1"/>
  <c r="AA27" i="1" s="1"/>
  <c r="N27" i="1"/>
  <c r="U27" i="1"/>
  <c r="L18" i="1"/>
  <c r="N18" i="1"/>
  <c r="C23" i="1"/>
  <c r="E22" i="1"/>
  <c r="U21" i="1"/>
  <c r="C29" i="1"/>
  <c r="E28" i="1"/>
  <c r="L21" i="1"/>
  <c r="Z21" i="1"/>
  <c r="AA21" i="1" s="1"/>
  <c r="R18" i="1"/>
  <c r="W18" i="1" s="1"/>
  <c r="Z17" i="1"/>
  <c r="AA17" i="1" s="1"/>
  <c r="R17" i="1"/>
  <c r="S17" i="1" s="1"/>
  <c r="L27" i="1"/>
  <c r="O19" i="1"/>
  <c r="P20" i="1"/>
  <c r="Q20" i="1"/>
  <c r="K22" i="1" l="1"/>
  <c r="U22" i="1"/>
  <c r="K23" i="1"/>
  <c r="U23" i="1"/>
  <c r="W17" i="1"/>
  <c r="X17" i="1" s="1"/>
  <c r="K28" i="1"/>
  <c r="N28" i="1" s="1"/>
  <c r="U28" i="1"/>
  <c r="E29" i="1"/>
  <c r="C30" i="1"/>
  <c r="C31" i="1" s="1"/>
  <c r="Q27" i="1"/>
  <c r="Q21" i="1"/>
  <c r="Q22" i="1" s="1"/>
  <c r="Q23" i="1" s="1"/>
  <c r="P27" i="1"/>
  <c r="P21" i="1"/>
  <c r="P22" i="1" s="1"/>
  <c r="P23" i="1" s="1"/>
  <c r="O20" i="1"/>
  <c r="O27" i="1" s="1"/>
  <c r="R19" i="1"/>
  <c r="S19" i="1" s="1"/>
  <c r="D30" i="1"/>
  <c r="S18" i="1"/>
  <c r="X18" i="1"/>
  <c r="Z23" i="1" l="1"/>
  <c r="AA23" i="1" s="1"/>
  <c r="N23" i="1"/>
  <c r="Z22" i="1"/>
  <c r="AA22" i="1" s="1"/>
  <c r="N22" i="1"/>
  <c r="K29" i="1"/>
  <c r="N29" i="1" s="1"/>
  <c r="U29" i="1"/>
  <c r="L28" i="1"/>
  <c r="Z28" i="1"/>
  <c r="AA28" i="1" s="1"/>
  <c r="R27" i="1"/>
  <c r="O28" i="1"/>
  <c r="O29" i="1" s="1"/>
  <c r="P28" i="1"/>
  <c r="P29" i="1" s="1"/>
  <c r="P30" i="1" s="1"/>
  <c r="P31" i="1" s="1"/>
  <c r="Q28" i="1"/>
  <c r="Q29" i="1" s="1"/>
  <c r="Q30" i="1" s="1"/>
  <c r="Q31" i="1" s="1"/>
  <c r="O21" i="1"/>
  <c r="O22" i="1" s="1"/>
  <c r="R20" i="1"/>
  <c r="S20" i="1" s="1"/>
  <c r="D31" i="1"/>
  <c r="E30" i="1"/>
  <c r="W19" i="1"/>
  <c r="X19" i="1" s="1"/>
  <c r="R22" i="1" l="1"/>
  <c r="O23" i="1"/>
  <c r="R23" i="1" s="1"/>
  <c r="R28" i="1"/>
  <c r="W20" i="1"/>
  <c r="X20" i="1" s="1"/>
  <c r="L29" i="1"/>
  <c r="R29" i="1"/>
  <c r="Z29" i="1"/>
  <c r="AA29" i="1" s="1"/>
  <c r="R21" i="1"/>
  <c r="W21" i="1" s="1"/>
  <c r="X21" i="1" s="1"/>
  <c r="K30" i="1"/>
  <c r="N30" i="1" s="1"/>
  <c r="U30" i="1"/>
  <c r="E31" i="1"/>
  <c r="W27" i="1"/>
  <c r="X27" i="1" s="1"/>
  <c r="S27" i="1"/>
  <c r="S23" i="1" l="1"/>
  <c r="W23" i="1"/>
  <c r="X23" i="1" s="1"/>
  <c r="S22" i="1"/>
  <c r="W22" i="1"/>
  <c r="X22" i="1" s="1"/>
  <c r="S29" i="1"/>
  <c r="W29" i="1"/>
  <c r="X29" i="1" s="1"/>
  <c r="S28" i="1"/>
  <c r="W28" i="1"/>
  <c r="X28" i="1" s="1"/>
  <c r="S21" i="1"/>
  <c r="L30" i="1"/>
  <c r="Z30" i="1"/>
  <c r="AA30" i="1" s="1"/>
  <c r="K31" i="1"/>
  <c r="N31" i="1" s="1"/>
  <c r="U31" i="1"/>
  <c r="O30" i="1"/>
  <c r="R30" i="1" s="1"/>
  <c r="L31" i="1" l="1"/>
  <c r="Z31" i="1"/>
  <c r="AA31" i="1" s="1"/>
  <c r="O31" i="1"/>
  <c r="R31" i="1" s="1"/>
  <c r="S30" i="1" l="1"/>
  <c r="W30" i="1"/>
  <c r="X30" i="1" s="1"/>
  <c r="S31" i="1" l="1"/>
  <c r="W31" i="1"/>
  <c r="X31" i="1" s="1"/>
</calcChain>
</file>

<file path=xl/sharedStrings.xml><?xml version="1.0" encoding="utf-8"?>
<sst xmlns="http://schemas.openxmlformats.org/spreadsheetml/2006/main" count="61" uniqueCount="39">
  <si>
    <t>Pendle Borough Council</t>
  </si>
  <si>
    <t>Exemplifications of Council Tax Increases</t>
  </si>
  <si>
    <t>The following table shows the effect of different spending levels on the Council Tax - both the Borough's share and the overall</t>
  </si>
  <si>
    <t xml:space="preserve">Band D Council Tax inclusive of the Major Preceptors. Column 12 - Net Loss of Council Tax Income - shows the change in </t>
  </si>
  <si>
    <t>Council Tax arising if the Borough's Council Tax increase is more or less than the recommended change in Council Tax.</t>
  </si>
  <si>
    <t>Borough</t>
  </si>
  <si>
    <t>Council</t>
  </si>
  <si>
    <t xml:space="preserve">Estimated Band D Council Tax </t>
  </si>
  <si>
    <t>Overall</t>
  </si>
  <si>
    <t>Pendle</t>
  </si>
  <si>
    <t>Tax</t>
  </si>
  <si>
    <t>Lancashire</t>
  </si>
  <si>
    <t>Additional</t>
  </si>
  <si>
    <t>Band D</t>
  </si>
  <si>
    <t>Band A</t>
  </si>
  <si>
    <t>Budget</t>
  </si>
  <si>
    <t xml:space="preserve">Collection </t>
  </si>
  <si>
    <t>Council Tax</t>
  </si>
  <si>
    <t>%age</t>
  </si>
  <si>
    <t>County</t>
  </si>
  <si>
    <t>Police</t>
  </si>
  <si>
    <t>Fire</t>
  </si>
  <si>
    <t xml:space="preserve">Increase </t>
  </si>
  <si>
    <t>Requirement</t>
  </si>
  <si>
    <t>Funding</t>
  </si>
  <si>
    <t>Fund Surplus</t>
  </si>
  <si>
    <t>Increase</t>
  </si>
  <si>
    <t>Council *1</t>
  </si>
  <si>
    <t>Authority *1</t>
  </si>
  <si>
    <t>Total</t>
  </si>
  <si>
    <t>Income</t>
  </si>
  <si>
    <t>pw</t>
  </si>
  <si>
    <t>Column Ref:</t>
  </si>
  <si>
    <t>2025/26</t>
  </si>
  <si>
    <t>£</t>
  </si>
  <si>
    <t>p</t>
  </si>
  <si>
    <t>Management Team Proposal 2026/27</t>
  </si>
  <si>
    <t xml:space="preserve">The Government has indicated that a Council Tax increase of 3% or more would require the Council to Conduct a Referendum </t>
  </si>
  <si>
    <t>Tax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</si>
</sst>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;&quot;-&quot;???"/>
    <numFmt numFmtId="165" formatCode="#,##0.00;[Red]\(#,##0.00\);&quot;-&quot;???"/>
    <numFmt numFmtId="166" formatCode="#,##0.0;\-#,##0.0"/>
    <numFmt numFmtId="167" formatCode="#,##0.00000000000000;[Red]#,##0.00000000000000"/>
    <numFmt numFmtId="168" formatCode="#,##0.0000000000000;[Red]#,##0.0000000000000"/>
    <numFmt numFmtId="169" formatCode="0.000"/>
  </numFmts>
  <fonts count="9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b/>
      <i/>
      <sz val="12"/>
      <color indexed="9"/>
      <name val="Arial"/>
      <family val="2"/>
    </font>
    <font>
      <sz val="10"/>
      <color theme="0" tint="-0.49998474074526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39" fontId="4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165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164" fontId="4" fillId="0" borderId="0" xfId="0" applyNumberFormat="1" applyFont="1"/>
    <xf numFmtId="1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166" fontId="4" fillId="0" borderId="0" xfId="0" applyNumberFormat="1" applyFont="1"/>
    <xf numFmtId="2" fontId="7" fillId="0" borderId="0" xfId="0" applyNumberFormat="1" applyFont="1"/>
    <xf numFmtId="167" fontId="0" fillId="0" borderId="0" xfId="0" applyNumberFormat="1"/>
    <xf numFmtId="168" fontId="0" fillId="0" borderId="0" xfId="0" applyNumberFormat="1"/>
    <xf numFmtId="10" fontId="0" fillId="0" borderId="0" xfId="1" applyNumberFormat="1" applyFont="1"/>
    <xf numFmtId="169" fontId="0" fillId="0" borderId="0" xfId="0" applyNumberForma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A40"/>
  <sheetViews>
    <sheetView tabSelected="1" topLeftCell="C10" zoomScaleNormal="100" workbookViewId="0">
      <selection activeCell="AB17" sqref="AB17"/>
    </sheetView>
  </sheetViews>
  <sheetFormatPr defaultRowHeight="13.15"/>
  <cols>
    <col min="1" max="1" width="32.140625" customWidth="1"/>
    <col min="2" max="5" width="12.85546875" customWidth="1"/>
    <col min="6" max="7" width="12.85546875" hidden="1" customWidth="1"/>
    <col min="8" max="8" width="11.42578125" customWidth="1"/>
    <col min="9" max="9" width="11.42578125" hidden="1" customWidth="1"/>
    <col min="10" max="10" width="2.7109375" hidden="1" customWidth="1"/>
    <col min="11" max="11" width="16.7109375" bestFit="1" customWidth="1"/>
    <col min="12" max="13" width="11.42578125" hidden="1" customWidth="1"/>
    <col min="14" max="14" width="11.42578125" customWidth="1"/>
    <col min="15" max="15" width="12.7109375" bestFit="1" customWidth="1"/>
    <col min="16" max="16" width="11.28515625" customWidth="1"/>
    <col min="17" max="17" width="11.7109375" customWidth="1"/>
    <col min="18" max="18" width="10.5703125" customWidth="1"/>
    <col min="20" max="20" width="1.28515625" customWidth="1"/>
    <col min="21" max="21" width="12.7109375" bestFit="1" customWidth="1"/>
    <col min="22" max="22" width="1.7109375" customWidth="1"/>
    <col min="23" max="23" width="10.28515625" customWidth="1"/>
    <col min="25" max="25" width="2.7109375" customWidth="1"/>
    <col min="26" max="26" width="8.7109375" customWidth="1"/>
  </cols>
  <sheetData>
    <row r="1" spans="1:27" ht="21">
      <c r="A1" s="1" t="s">
        <v>0</v>
      </c>
    </row>
    <row r="2" spans="1:27" ht="21">
      <c r="A2" s="1" t="s">
        <v>1</v>
      </c>
    </row>
    <row r="3" spans="1:27"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3"/>
    </row>
    <row r="4" spans="1:27">
      <c r="A4" t="s">
        <v>2</v>
      </c>
      <c r="B4" s="2"/>
      <c r="C4" s="2"/>
      <c r="D4" s="2"/>
      <c r="E4" s="2"/>
      <c r="F4" s="2"/>
      <c r="G4" s="2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3"/>
    </row>
    <row r="5" spans="1:27">
      <c r="A5" t="s">
        <v>3</v>
      </c>
      <c r="B5" s="2"/>
      <c r="C5" s="2"/>
      <c r="D5" s="2"/>
      <c r="E5" s="2"/>
      <c r="F5" s="2"/>
      <c r="G5" s="2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3"/>
    </row>
    <row r="6" spans="1:27">
      <c r="A6" t="s">
        <v>4</v>
      </c>
      <c r="B6" s="2"/>
      <c r="C6" s="2"/>
      <c r="D6" s="2"/>
      <c r="E6" s="2"/>
      <c r="F6" s="2"/>
      <c r="G6" s="2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3"/>
    </row>
    <row r="7" spans="1:27">
      <c r="B7" s="2"/>
      <c r="C7" s="2"/>
      <c r="D7" s="2"/>
      <c r="E7" s="2"/>
      <c r="F7" s="2"/>
      <c r="G7" s="2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3"/>
    </row>
    <row r="8" spans="1:27">
      <c r="A8" s="5"/>
      <c r="B8" s="6"/>
      <c r="C8" s="6"/>
      <c r="D8" s="6"/>
      <c r="E8" s="6"/>
      <c r="F8" s="6"/>
      <c r="G8" s="6"/>
      <c r="H8" s="6" t="s">
        <v>5</v>
      </c>
      <c r="I8" s="6"/>
      <c r="J8" s="6"/>
      <c r="K8" s="6"/>
      <c r="L8" s="6"/>
      <c r="M8" s="6"/>
      <c r="N8" s="6"/>
      <c r="O8" s="6"/>
      <c r="P8" s="6"/>
      <c r="Q8" s="6"/>
      <c r="R8" s="6"/>
      <c r="S8" s="5"/>
    </row>
    <row r="9" spans="1:27">
      <c r="A9" s="5"/>
      <c r="B9" s="6"/>
      <c r="C9" s="6"/>
      <c r="D9" s="6"/>
      <c r="E9" s="6"/>
      <c r="F9" s="6"/>
      <c r="G9" s="6"/>
      <c r="H9" s="6" t="s">
        <v>6</v>
      </c>
      <c r="I9" s="6"/>
      <c r="J9" s="6"/>
      <c r="K9" s="26" t="s">
        <v>7</v>
      </c>
      <c r="L9" s="26"/>
      <c r="M9" s="26"/>
      <c r="N9" s="26"/>
      <c r="O9" s="26"/>
      <c r="P9" s="26"/>
      <c r="Q9" s="26"/>
      <c r="R9" s="26"/>
      <c r="S9" s="26"/>
      <c r="U9" s="6"/>
      <c r="W9" s="26" t="s">
        <v>8</v>
      </c>
      <c r="X9" s="26"/>
      <c r="Z9" s="26" t="s">
        <v>9</v>
      </c>
      <c r="AA9" s="26"/>
    </row>
    <row r="10" spans="1:27">
      <c r="A10" s="5"/>
      <c r="B10" s="6"/>
      <c r="C10" s="6"/>
      <c r="D10" s="6"/>
      <c r="E10" s="6"/>
      <c r="F10" s="6"/>
      <c r="G10" s="6"/>
      <c r="H10" s="6" t="s">
        <v>10</v>
      </c>
      <c r="I10" s="6"/>
      <c r="J10" s="6"/>
      <c r="K10" s="6" t="s">
        <v>5</v>
      </c>
      <c r="L10" s="6"/>
      <c r="M10" s="6"/>
      <c r="N10" s="6"/>
      <c r="O10" s="6" t="s">
        <v>11</v>
      </c>
      <c r="P10" s="6" t="s">
        <v>11</v>
      </c>
      <c r="Q10" s="6" t="s">
        <v>11</v>
      </c>
      <c r="R10" s="6"/>
      <c r="S10" s="6" t="s">
        <v>8</v>
      </c>
      <c r="U10" s="6" t="s">
        <v>12</v>
      </c>
      <c r="W10" s="6" t="s">
        <v>13</v>
      </c>
      <c r="X10" s="6" t="s">
        <v>14</v>
      </c>
      <c r="Z10" s="6" t="s">
        <v>13</v>
      </c>
      <c r="AA10" s="6" t="s">
        <v>14</v>
      </c>
    </row>
    <row r="11" spans="1:27">
      <c r="A11" s="5"/>
      <c r="B11" s="6" t="s">
        <v>15</v>
      </c>
      <c r="C11" s="6"/>
      <c r="D11" s="6" t="s">
        <v>16</v>
      </c>
      <c r="E11" s="6" t="s">
        <v>17</v>
      </c>
      <c r="F11" s="6"/>
      <c r="G11" s="6"/>
      <c r="H11" s="6" t="s">
        <v>18</v>
      </c>
      <c r="I11" s="6"/>
      <c r="J11" s="6"/>
      <c r="K11" s="6" t="s">
        <v>6</v>
      </c>
      <c r="L11" s="6"/>
      <c r="M11" s="6"/>
      <c r="N11" s="6"/>
      <c r="O11" s="6" t="s">
        <v>19</v>
      </c>
      <c r="P11" s="6" t="s">
        <v>20</v>
      </c>
      <c r="Q11" s="6" t="s">
        <v>21</v>
      </c>
      <c r="R11" s="6"/>
      <c r="S11" s="6" t="s">
        <v>18</v>
      </c>
      <c r="U11" s="6" t="s">
        <v>17</v>
      </c>
      <c r="W11" s="6" t="s">
        <v>22</v>
      </c>
      <c r="X11" s="6" t="s">
        <v>22</v>
      </c>
      <c r="Z11" s="6" t="s">
        <v>22</v>
      </c>
      <c r="AA11" s="6" t="s">
        <v>22</v>
      </c>
    </row>
    <row r="12" spans="1:27">
      <c r="A12" s="5"/>
      <c r="B12" s="6" t="s">
        <v>23</v>
      </c>
      <c r="C12" s="6" t="s">
        <v>24</v>
      </c>
      <c r="D12" s="6" t="s">
        <v>25</v>
      </c>
      <c r="E12" s="6" t="s">
        <v>23</v>
      </c>
      <c r="F12" s="6"/>
      <c r="G12" s="6"/>
      <c r="H12" s="6" t="s">
        <v>26</v>
      </c>
      <c r="I12" s="6"/>
      <c r="J12" s="6"/>
      <c r="K12" s="6" t="s">
        <v>10</v>
      </c>
      <c r="L12" s="6"/>
      <c r="M12" s="6"/>
      <c r="N12" s="6"/>
      <c r="O12" s="6" t="s">
        <v>27</v>
      </c>
      <c r="P12" s="6" t="s">
        <v>28</v>
      </c>
      <c r="Q12" s="6" t="s">
        <v>28</v>
      </c>
      <c r="R12" s="6" t="s">
        <v>29</v>
      </c>
      <c r="S12" s="6" t="s">
        <v>26</v>
      </c>
      <c r="U12" s="6" t="s">
        <v>30</v>
      </c>
      <c r="W12" s="6" t="s">
        <v>31</v>
      </c>
      <c r="X12" s="6" t="s">
        <v>31</v>
      </c>
      <c r="Z12" s="6" t="s">
        <v>31</v>
      </c>
      <c r="AA12" s="6" t="s">
        <v>31</v>
      </c>
    </row>
    <row r="13" spans="1:27">
      <c r="A13" s="5" t="s">
        <v>32</v>
      </c>
      <c r="B13" s="6">
        <v>1</v>
      </c>
      <c r="C13" s="6"/>
      <c r="D13" s="6"/>
      <c r="E13" s="6">
        <f>B13+1</f>
        <v>2</v>
      </c>
      <c r="F13" s="6"/>
      <c r="G13" s="6"/>
      <c r="H13" s="6">
        <f>E13+1</f>
        <v>3</v>
      </c>
      <c r="I13" s="6"/>
      <c r="J13" s="6"/>
      <c r="K13" s="6">
        <f>H13+1</f>
        <v>4</v>
      </c>
      <c r="L13" s="6"/>
      <c r="M13" s="6"/>
      <c r="N13" s="6"/>
      <c r="O13" s="6">
        <f>K13+1</f>
        <v>5</v>
      </c>
      <c r="P13" s="6">
        <f>O13+1</f>
        <v>6</v>
      </c>
      <c r="Q13" s="6">
        <f>P13+1</f>
        <v>7</v>
      </c>
      <c r="R13" s="6">
        <f>Q13+1</f>
        <v>8</v>
      </c>
      <c r="S13" s="6">
        <f>R13+1</f>
        <v>9</v>
      </c>
      <c r="U13" s="6">
        <f>S13+1</f>
        <v>10</v>
      </c>
    </row>
    <row r="15" spans="1:27">
      <c r="A15" t="s">
        <v>33</v>
      </c>
      <c r="B15" s="2">
        <v>12692830</v>
      </c>
      <c r="C15" s="2"/>
      <c r="D15" s="2"/>
      <c r="E15" s="15">
        <f>B15+C15+D15</f>
        <v>12692830</v>
      </c>
      <c r="F15" s="2"/>
      <c r="G15" s="2"/>
      <c r="H15" s="3">
        <v>0</v>
      </c>
      <c r="I15" s="3"/>
      <c r="K15">
        <v>307.52</v>
      </c>
      <c r="N15" s="24">
        <f t="shared" ref="N15:N22" si="0">(K15-$K$15)/$K$15</f>
        <v>0</v>
      </c>
      <c r="O15" s="4">
        <v>1107.74</v>
      </c>
      <c r="P15">
        <v>155.96</v>
      </c>
      <c r="Q15">
        <v>63.65</v>
      </c>
      <c r="R15" s="7">
        <f>K15+O15+P15+Q15</f>
        <v>1634.8700000000001</v>
      </c>
      <c r="U15" s="8" t="s">
        <v>34</v>
      </c>
      <c r="W15" s="8" t="s">
        <v>35</v>
      </c>
      <c r="X15" s="8" t="s">
        <v>35</v>
      </c>
      <c r="Z15" s="8" t="s">
        <v>35</v>
      </c>
      <c r="AA15" s="8" t="s">
        <v>35</v>
      </c>
    </row>
    <row r="16" spans="1:27">
      <c r="N16" s="24"/>
    </row>
    <row r="17" spans="1:27">
      <c r="B17" s="15">
        <f>B18-38680</f>
        <v>18145290</v>
      </c>
      <c r="C17" s="15">
        <v>-9147680</v>
      </c>
      <c r="D17" s="15">
        <f>-660000-659000</f>
        <v>-1319000</v>
      </c>
      <c r="E17" s="15">
        <f>B17+C17+D17</f>
        <v>7678610</v>
      </c>
      <c r="F17" s="15"/>
      <c r="G17" s="15"/>
      <c r="H17" s="16">
        <v>0</v>
      </c>
      <c r="I17" s="16"/>
      <c r="J17" s="16"/>
      <c r="K17" s="4">
        <f t="shared" ref="K17:K23" si="1">E17/$K$33</f>
        <v>305.13732870669884</v>
      </c>
      <c r="L17" s="17"/>
      <c r="M17" s="17"/>
      <c r="N17" s="24">
        <f t="shared" si="0"/>
        <v>-7.7480205947617837E-3</v>
      </c>
      <c r="O17" s="17">
        <f>ROUND(SUM(O15*(1+O33)),2)</f>
        <v>1149.83</v>
      </c>
      <c r="P17" s="17">
        <f>ROUND(SUM(P15*(1+P33)),2)</f>
        <v>170.96</v>
      </c>
      <c r="Q17" s="17">
        <f>ROUND(SUM(Q15*(1+Q33)),2)</f>
        <v>68.650000000000006</v>
      </c>
      <c r="R17" s="7">
        <f t="shared" ref="R17:R21" si="2">K17+O17+P17+Q17</f>
        <v>1694.5773287066988</v>
      </c>
      <c r="S17" s="16">
        <f>SUM(R17-$R$15)/$R$15</f>
        <v>3.6521147679447731E-2</v>
      </c>
      <c r="T17" s="18"/>
      <c r="U17" s="15">
        <v>0</v>
      </c>
      <c r="V17" s="18"/>
      <c r="W17" s="19">
        <f>SUM(R17-$R$15)/52</f>
        <v>1.1482178597442061</v>
      </c>
      <c r="X17" s="19">
        <f>W17/9*6</f>
        <v>0.7654785731628041</v>
      </c>
      <c r="Y17" s="18"/>
      <c r="Z17" s="19">
        <f>(K17-$K$15)/52</f>
        <v>-4.5820601794252763E-2</v>
      </c>
      <c r="AA17" s="19">
        <f t="shared" ref="AA17:AA31" si="3">Z17/9*6</f>
        <v>-3.0547067862835176E-2</v>
      </c>
    </row>
    <row r="18" spans="1:27">
      <c r="B18" s="2">
        <f>B19-38680</f>
        <v>18183970</v>
      </c>
      <c r="C18" s="2">
        <f>C17</f>
        <v>-9147680</v>
      </c>
      <c r="D18" s="2">
        <f>D17</f>
        <v>-1319000</v>
      </c>
      <c r="E18" s="15">
        <f t="shared" ref="E18:E23" si="4">B18+C18+D18</f>
        <v>7717290</v>
      </c>
      <c r="F18" s="2"/>
      <c r="G18" s="2"/>
      <c r="H18" s="3">
        <v>5.0000000000000001E-3</v>
      </c>
      <c r="I18" s="3"/>
      <c r="J18" s="3"/>
      <c r="K18" s="4">
        <f t="shared" si="1"/>
        <v>306.67441834588811</v>
      </c>
      <c r="L18" s="3">
        <f>(K18-$K$15)/$K$15</f>
        <v>-2.7496801967737644E-3</v>
      </c>
      <c r="M18" s="4"/>
      <c r="N18" s="24">
        <f t="shared" si="0"/>
        <v>-2.7496801967737644E-3</v>
      </c>
      <c r="O18" s="4">
        <f t="shared" ref="O18:O31" si="5">O17</f>
        <v>1149.83</v>
      </c>
      <c r="P18" s="4">
        <f t="shared" ref="P18:P31" si="6">P17</f>
        <v>170.96</v>
      </c>
      <c r="Q18" s="4">
        <f t="shared" ref="Q18:Q31" si="7">Q17</f>
        <v>68.650000000000006</v>
      </c>
      <c r="R18" s="7">
        <f t="shared" si="2"/>
        <v>1696.1144183458882</v>
      </c>
      <c r="S18" s="3">
        <f>SUM(R18-$R$15)/$R$15</f>
        <v>3.7461338421946759E-2</v>
      </c>
      <c r="U18" s="2">
        <f>E18-E17</f>
        <v>38680</v>
      </c>
      <c r="W18" s="7">
        <f>SUM(R18-$R$15)/52</f>
        <v>1.1777772758824636</v>
      </c>
      <c r="X18" s="7">
        <f t="shared" ref="X18:X31" si="8">W18/9*6</f>
        <v>0.785184850588309</v>
      </c>
      <c r="Z18" s="7">
        <f>(K18-$K$15)/52</f>
        <v>-1.6261185655997459E-2</v>
      </c>
      <c r="AA18" s="7">
        <f t="shared" si="3"/>
        <v>-1.0840790437331639E-2</v>
      </c>
    </row>
    <row r="19" spans="1:27">
      <c r="A19" s="2"/>
      <c r="B19" s="2">
        <f>B20-38680</f>
        <v>18222650</v>
      </c>
      <c r="C19" s="2">
        <f t="shared" ref="C19:C20" si="9">C18</f>
        <v>-9147680</v>
      </c>
      <c r="D19" s="2">
        <f t="shared" ref="D19:D20" si="10">D18</f>
        <v>-1319000</v>
      </c>
      <c r="E19" s="15">
        <f t="shared" si="4"/>
        <v>7755970</v>
      </c>
      <c r="F19" s="2"/>
      <c r="G19" s="2"/>
      <c r="H19" s="3">
        <v>0.01</v>
      </c>
      <c r="I19" s="3"/>
      <c r="J19" s="3"/>
      <c r="K19" s="4">
        <f t="shared" si="1"/>
        <v>308.21150798507739</v>
      </c>
      <c r="L19" s="3">
        <f t="shared" ref="L19:L24" si="11">(K19-$K$15)/$K$15</f>
        <v>2.2486602012142553E-3</v>
      </c>
      <c r="M19" s="4"/>
      <c r="N19" s="24">
        <f t="shared" si="0"/>
        <v>2.2486602012142553E-3</v>
      </c>
      <c r="O19" s="4">
        <f t="shared" si="5"/>
        <v>1149.83</v>
      </c>
      <c r="P19" s="4">
        <f t="shared" si="6"/>
        <v>170.96</v>
      </c>
      <c r="Q19" s="4">
        <f t="shared" si="7"/>
        <v>68.650000000000006</v>
      </c>
      <c r="R19" s="7">
        <f t="shared" si="2"/>
        <v>1697.6515079850774</v>
      </c>
      <c r="S19" s="3">
        <f>SUM(R19-$R$15)/$R$15</f>
        <v>3.8401529164445655E-2</v>
      </c>
      <c r="U19" s="2">
        <f>E19-$E$17</f>
        <v>77360</v>
      </c>
      <c r="W19" s="7">
        <f>SUM(R19-$R$15)/52</f>
        <v>1.2073366920207167</v>
      </c>
      <c r="X19" s="7">
        <f t="shared" si="8"/>
        <v>0.80489112801381113</v>
      </c>
      <c r="Z19" s="7">
        <f>(K19-$K$15)/52</f>
        <v>1.3298230482257841E-2</v>
      </c>
      <c r="AA19" s="7">
        <f t="shared" si="3"/>
        <v>8.8654869881718938E-3</v>
      </c>
    </row>
    <row r="20" spans="1:27">
      <c r="A20" s="2"/>
      <c r="B20" s="2">
        <v>18261330</v>
      </c>
      <c r="C20" s="2">
        <f t="shared" si="9"/>
        <v>-9147680</v>
      </c>
      <c r="D20" s="2">
        <f t="shared" si="10"/>
        <v>-1319000</v>
      </c>
      <c r="E20" s="15">
        <f t="shared" si="4"/>
        <v>7794650</v>
      </c>
      <c r="F20" s="2"/>
      <c r="G20" s="2"/>
      <c r="H20" s="3">
        <v>1.4999999999999999E-2</v>
      </c>
      <c r="I20" s="3"/>
      <c r="J20" s="3"/>
      <c r="K20" s="4">
        <f t="shared" si="1"/>
        <v>309.74859762426667</v>
      </c>
      <c r="L20" s="3">
        <f t="shared" si="11"/>
        <v>7.2470005992022746E-3</v>
      </c>
      <c r="M20" s="4"/>
      <c r="N20" s="24">
        <f t="shared" si="0"/>
        <v>7.2470005992022746E-3</v>
      </c>
      <c r="O20" s="4">
        <f t="shared" ref="O20:Q21" si="12">O19</f>
        <v>1149.83</v>
      </c>
      <c r="P20" s="4">
        <f t="shared" si="12"/>
        <v>170.96</v>
      </c>
      <c r="Q20" s="4">
        <f t="shared" si="12"/>
        <v>68.650000000000006</v>
      </c>
      <c r="R20" s="7">
        <f t="shared" si="2"/>
        <v>1699.1885976242668</v>
      </c>
      <c r="S20" s="3">
        <f>SUM(R20-$R$15)/$R$15</f>
        <v>3.9341719906944683E-2</v>
      </c>
      <c r="U20" s="2">
        <f>E20-$E$17</f>
        <v>116040</v>
      </c>
      <c r="W20" s="7">
        <f>SUM(R20-$R$15)/52</f>
        <v>1.2368961081589742</v>
      </c>
      <c r="X20" s="7">
        <f t="shared" si="8"/>
        <v>0.82459740543931614</v>
      </c>
      <c r="Z20" s="7">
        <f>(K20-$K$15)/52</f>
        <v>4.285764662051314E-2</v>
      </c>
      <c r="AA20" s="7">
        <f t="shared" si="3"/>
        <v>2.8571764413675427E-2</v>
      </c>
    </row>
    <row r="21" spans="1:27">
      <c r="A21" s="2"/>
      <c r="B21" s="2">
        <v>18300050</v>
      </c>
      <c r="C21" s="2">
        <f>C20</f>
        <v>-9147680</v>
      </c>
      <c r="D21" s="2">
        <f>D20</f>
        <v>-1319000</v>
      </c>
      <c r="E21" s="15">
        <f t="shared" si="4"/>
        <v>7833370</v>
      </c>
      <c r="F21" s="2"/>
      <c r="G21" s="2"/>
      <c r="H21" s="3">
        <v>0.02</v>
      </c>
      <c r="I21" s="3"/>
      <c r="J21" s="3"/>
      <c r="K21" s="4">
        <f t="shared" si="1"/>
        <v>311.28727680806725</v>
      </c>
      <c r="L21" s="3">
        <f t="shared" si="11"/>
        <v>1.2250509911769203E-2</v>
      </c>
      <c r="M21" s="4"/>
      <c r="N21" s="24">
        <f t="shared" si="0"/>
        <v>1.2250509911769203E-2</v>
      </c>
      <c r="O21" s="4">
        <f t="shared" si="12"/>
        <v>1149.83</v>
      </c>
      <c r="P21" s="4">
        <f t="shared" si="12"/>
        <v>170.96</v>
      </c>
      <c r="Q21" s="4">
        <f t="shared" si="12"/>
        <v>68.650000000000006</v>
      </c>
      <c r="R21" s="7">
        <f t="shared" si="2"/>
        <v>1700.7272768080672</v>
      </c>
      <c r="S21" s="3">
        <f>SUM(R21-$R$15)/$R$15</f>
        <v>4.0282882925288935E-2</v>
      </c>
      <c r="U21" s="2">
        <f>E21-$E$17</f>
        <v>154760</v>
      </c>
      <c r="W21" s="7">
        <f>SUM(R21-$R$15)/52</f>
        <v>1.2664860924628294</v>
      </c>
      <c r="X21" s="7">
        <f t="shared" ref="X21" si="13">W21/9*6</f>
        <v>0.84432406164188623</v>
      </c>
      <c r="Z21" s="7">
        <f>(K21-$K$15)/52</f>
        <v>7.2447630924370482E-2</v>
      </c>
      <c r="AA21" s="7">
        <f t="shared" ref="AA21" si="14">Z21/9*6</f>
        <v>4.8298420616246993E-2</v>
      </c>
    </row>
    <row r="22" spans="1:27">
      <c r="A22" s="15"/>
      <c r="B22" s="2">
        <f>7932080+-C22+-D22</f>
        <v>18398760</v>
      </c>
      <c r="C22" s="2">
        <f t="shared" ref="C22:C23" si="15">C21</f>
        <v>-9147680</v>
      </c>
      <c r="D22" s="2">
        <f t="shared" ref="D22:D23" si="16">D21</f>
        <v>-1319000</v>
      </c>
      <c r="E22" s="15">
        <f t="shared" si="4"/>
        <v>7932080</v>
      </c>
      <c r="F22" s="2"/>
      <c r="G22" s="2"/>
      <c r="H22" s="3">
        <v>2.5000000000000001E-2</v>
      </c>
      <c r="I22" s="3"/>
      <c r="J22" s="3"/>
      <c r="K22" s="4">
        <f t="shared" si="1"/>
        <v>315.20987552276148</v>
      </c>
      <c r="L22" s="3"/>
      <c r="M22" s="4"/>
      <c r="N22" s="24">
        <f t="shared" si="0"/>
        <v>2.5006098864338897E-2</v>
      </c>
      <c r="O22" s="4">
        <f t="shared" ref="O22:Q22" si="17">O21</f>
        <v>1149.83</v>
      </c>
      <c r="P22" s="4">
        <f t="shared" si="17"/>
        <v>170.96</v>
      </c>
      <c r="Q22" s="4">
        <f t="shared" si="17"/>
        <v>68.650000000000006</v>
      </c>
      <c r="R22" s="7">
        <f t="shared" ref="R22:R23" si="18">K22+O22+P22+Q22</f>
        <v>1704.6498755227615</v>
      </c>
      <c r="S22" s="3">
        <f t="shared" ref="S22:S23" si="19">SUM(R22-$R$15)/$R$15</f>
        <v>4.2682216642767529E-2</v>
      </c>
      <c r="U22" s="2">
        <f t="shared" ref="U22:U23" si="20">E22-$E$17</f>
        <v>253470</v>
      </c>
      <c r="W22" s="7">
        <f t="shared" ref="W22:W23" si="21">SUM(R22-$R$15)/52</f>
        <v>1.3419206831300261</v>
      </c>
      <c r="X22" s="7">
        <f t="shared" ref="X22:X23" si="22">W22/9*6</f>
        <v>0.89461378875335074</v>
      </c>
      <c r="Z22" s="7">
        <f t="shared" ref="Z22:Z23" si="23">(K22-$K$15)/52</f>
        <v>0.14788222159156725</v>
      </c>
      <c r="AA22" s="7">
        <f t="shared" ref="AA22:AA23" si="24">Z22/9*6</f>
        <v>9.8588147727711489E-2</v>
      </c>
    </row>
    <row r="23" spans="1:27">
      <c r="A23" s="15" t="s">
        <v>36</v>
      </c>
      <c r="B23" s="2">
        <f>19232890-428190-428190+60000</f>
        <v>18436510</v>
      </c>
      <c r="C23" s="2">
        <f t="shared" si="15"/>
        <v>-9147680</v>
      </c>
      <c r="D23" s="2">
        <f t="shared" si="16"/>
        <v>-1319000</v>
      </c>
      <c r="E23" s="15">
        <f>B23+C23+D23</f>
        <v>7969830</v>
      </c>
      <c r="F23" s="2"/>
      <c r="G23" s="2"/>
      <c r="H23" s="3">
        <v>2.9899999999999999E-2</v>
      </c>
      <c r="I23" s="3"/>
      <c r="J23" s="3"/>
      <c r="K23" s="4">
        <f t="shared" si="1"/>
        <v>316.71000824973657</v>
      </c>
      <c r="L23" s="3"/>
      <c r="M23" s="4"/>
      <c r="N23" s="24">
        <f>(K23-$K$15)/$K$15</f>
        <v>2.9884261998363013E-2</v>
      </c>
      <c r="O23" s="4">
        <f t="shared" ref="O23:Q23" si="25">O22</f>
        <v>1149.83</v>
      </c>
      <c r="P23" s="4">
        <f t="shared" si="25"/>
        <v>170.96</v>
      </c>
      <c r="Q23" s="4">
        <f t="shared" si="25"/>
        <v>68.650000000000006</v>
      </c>
      <c r="R23" s="7">
        <f t="shared" si="18"/>
        <v>1706.1500082497366</v>
      </c>
      <c r="S23" s="3">
        <f t="shared" si="19"/>
        <v>4.3599801971861071E-2</v>
      </c>
      <c r="U23" s="2">
        <f t="shared" si="20"/>
        <v>291220</v>
      </c>
      <c r="W23" s="7">
        <f t="shared" si="21"/>
        <v>1.3707693894180097</v>
      </c>
      <c r="X23" s="7">
        <f t="shared" si="22"/>
        <v>0.9138462596120065</v>
      </c>
      <c r="Z23" s="7">
        <f t="shared" si="23"/>
        <v>0.17673092787954986</v>
      </c>
      <c r="AA23" s="7">
        <f t="shared" si="24"/>
        <v>0.11782061858636657</v>
      </c>
    </row>
    <row r="24" spans="1:27">
      <c r="K24" s="22"/>
      <c r="L24" s="3">
        <f t="shared" si="11"/>
        <v>-1</v>
      </c>
      <c r="Z24" s="7"/>
      <c r="AA24" s="7"/>
    </row>
    <row r="25" spans="1:27" ht="15.6">
      <c r="B25" s="27" t="s">
        <v>37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7" spans="1:27" ht="12" customHeight="1">
      <c r="B27" s="10">
        <f>B23+1000</f>
        <v>18437510</v>
      </c>
      <c r="C27" s="10">
        <f>C20</f>
        <v>-9147680</v>
      </c>
      <c r="D27" s="10">
        <f>D20</f>
        <v>-1319000</v>
      </c>
      <c r="E27" s="15">
        <f t="shared" ref="E27:E31" si="26">B27+C27+D27</f>
        <v>7970830</v>
      </c>
      <c r="F27" s="10"/>
      <c r="G27" s="10"/>
      <c r="H27" s="11">
        <v>0.03</v>
      </c>
      <c r="I27" s="11"/>
      <c r="J27" s="11"/>
      <c r="K27" s="4">
        <f>E27/$K$33</f>
        <v>316.74974686502065</v>
      </c>
      <c r="L27" s="3">
        <f t="shared" ref="L27:L31" si="27">(K27-$K$15)/$K$15</f>
        <v>3.0013484862840379E-2</v>
      </c>
      <c r="M27" s="12"/>
      <c r="N27" s="24">
        <f t="shared" ref="N27:N31" si="28">(K27-$K$15)/$K$15</f>
        <v>3.0013484862840379E-2</v>
      </c>
      <c r="O27" s="12">
        <f>O20</f>
        <v>1149.83</v>
      </c>
      <c r="P27" s="12">
        <f>P20</f>
        <v>170.96</v>
      </c>
      <c r="Q27" s="12">
        <f>Q20</f>
        <v>68.650000000000006</v>
      </c>
      <c r="R27" s="21">
        <f t="shared" ref="R27:R31" si="29">K27+O27+P27+Q27</f>
        <v>1706.1897468650207</v>
      </c>
      <c r="S27" s="11">
        <f t="shared" ref="S27:S31" si="30">SUM(R27-$R$15)/$R$15</f>
        <v>4.3624108867995941E-2</v>
      </c>
      <c r="T27" s="13"/>
      <c r="U27" s="2">
        <f t="shared" ref="U27:U31" si="31">E27-$E$17</f>
        <v>292220</v>
      </c>
      <c r="V27" s="13"/>
      <c r="W27" s="14">
        <f>SUM(R27-$R$15)/52</f>
        <v>1.3715335935580872</v>
      </c>
      <c r="X27" s="14">
        <f>W27/9*6</f>
        <v>0.91435572903872475</v>
      </c>
      <c r="Y27" s="13"/>
      <c r="Z27" s="14">
        <f>(K27-$K$15)/52</f>
        <v>0.17749513201962833</v>
      </c>
      <c r="AA27" s="14">
        <f>Z27/9*6</f>
        <v>0.11833008801308556</v>
      </c>
    </row>
    <row r="28" spans="1:27" ht="12" customHeight="1">
      <c r="B28" s="10">
        <f>B27+38720</f>
        <v>18476230</v>
      </c>
      <c r="C28" s="10">
        <f t="shared" ref="C28:D30" si="32">C27</f>
        <v>-9147680</v>
      </c>
      <c r="D28" s="10">
        <f t="shared" si="32"/>
        <v>-1319000</v>
      </c>
      <c r="E28" s="15">
        <f t="shared" si="26"/>
        <v>8009550</v>
      </c>
      <c r="F28" s="10"/>
      <c r="G28" s="10"/>
      <c r="H28" s="11">
        <v>3.5000000000000003E-2</v>
      </c>
      <c r="I28" s="11"/>
      <c r="J28" s="11"/>
      <c r="K28" s="4">
        <f t="shared" ref="K28" si="33">E28/$K$33</f>
        <v>318.28842604882129</v>
      </c>
      <c r="L28" s="3">
        <f t="shared" si="27"/>
        <v>3.501699417540749E-2</v>
      </c>
      <c r="M28" s="12"/>
      <c r="N28" s="24">
        <f t="shared" si="28"/>
        <v>3.501699417540749E-2</v>
      </c>
      <c r="O28" s="12">
        <f t="shared" ref="O28:Q28" si="34">O27</f>
        <v>1149.83</v>
      </c>
      <c r="P28" s="12">
        <f t="shared" si="34"/>
        <v>170.96</v>
      </c>
      <c r="Q28" s="12">
        <f t="shared" si="34"/>
        <v>68.650000000000006</v>
      </c>
      <c r="R28" s="21">
        <f t="shared" si="29"/>
        <v>1707.7284260488213</v>
      </c>
      <c r="S28" s="11">
        <f t="shared" si="30"/>
        <v>4.4565271886340338E-2</v>
      </c>
      <c r="T28" s="13"/>
      <c r="U28" s="2">
        <f t="shared" si="31"/>
        <v>330940</v>
      </c>
      <c r="V28" s="13"/>
      <c r="W28" s="14">
        <f>SUM(R28-$R$15)/52</f>
        <v>1.4011235778619466</v>
      </c>
      <c r="X28" s="14">
        <f t="shared" si="8"/>
        <v>0.93408238524129772</v>
      </c>
      <c r="Y28" s="13"/>
      <c r="Z28" s="14">
        <f>(K28-$K$15)/52</f>
        <v>0.20708511632348675</v>
      </c>
      <c r="AA28" s="14">
        <f t="shared" si="3"/>
        <v>0.13805674421565783</v>
      </c>
    </row>
    <row r="29" spans="1:27">
      <c r="B29" s="10">
        <f>B28+38720</f>
        <v>18514950</v>
      </c>
      <c r="C29" s="10">
        <f t="shared" si="32"/>
        <v>-9147680</v>
      </c>
      <c r="D29" s="10">
        <f t="shared" si="32"/>
        <v>-1319000</v>
      </c>
      <c r="E29" s="15">
        <f t="shared" si="26"/>
        <v>8048270</v>
      </c>
      <c r="F29" s="10"/>
      <c r="G29" s="10"/>
      <c r="H29" s="11">
        <v>0.04</v>
      </c>
      <c r="I29" s="11"/>
      <c r="J29" s="11"/>
      <c r="K29" s="4">
        <f>E29/$K$33</f>
        <v>319.82710523262193</v>
      </c>
      <c r="L29" s="3">
        <f t="shared" si="27"/>
        <v>4.0020503487974604E-2</v>
      </c>
      <c r="M29" s="12"/>
      <c r="N29" s="24">
        <f t="shared" si="28"/>
        <v>4.0020503487974604E-2</v>
      </c>
      <c r="O29" s="12">
        <f t="shared" ref="O29:Q30" si="35">O28</f>
        <v>1149.83</v>
      </c>
      <c r="P29" s="12">
        <f t="shared" si="35"/>
        <v>170.96</v>
      </c>
      <c r="Q29" s="12">
        <f t="shared" si="35"/>
        <v>68.650000000000006</v>
      </c>
      <c r="R29" s="21">
        <f t="shared" si="29"/>
        <v>1709.267105232622</v>
      </c>
      <c r="S29" s="11">
        <f t="shared" si="30"/>
        <v>4.5506434904684728E-2</v>
      </c>
      <c r="T29" s="13"/>
      <c r="U29" s="2">
        <f t="shared" si="31"/>
        <v>369660</v>
      </c>
      <c r="V29" s="13"/>
      <c r="W29" s="14">
        <f>SUM(R29-$R$15)/52</f>
        <v>1.4307135621658063</v>
      </c>
      <c r="X29" s="14">
        <f t="shared" si="8"/>
        <v>0.9538090414438708</v>
      </c>
      <c r="Y29" s="13"/>
      <c r="Z29" s="14">
        <f>(K29-$K$15)/52</f>
        <v>0.2366751006273452</v>
      </c>
      <c r="AA29" s="14">
        <f t="shared" si="3"/>
        <v>0.15778340041823014</v>
      </c>
    </row>
    <row r="30" spans="1:27">
      <c r="B30" s="10">
        <f>B29+38720</f>
        <v>18553670</v>
      </c>
      <c r="C30" s="10">
        <f t="shared" si="32"/>
        <v>-9147680</v>
      </c>
      <c r="D30" s="10">
        <f t="shared" si="32"/>
        <v>-1319000</v>
      </c>
      <c r="E30" s="15">
        <f t="shared" si="26"/>
        <v>8086990</v>
      </c>
      <c r="F30" s="10"/>
      <c r="G30" s="10"/>
      <c r="H30" s="11">
        <v>4.4999999999999998E-2</v>
      </c>
      <c r="I30" s="11"/>
      <c r="J30" s="11"/>
      <c r="K30" s="4">
        <f>E30/$K$33</f>
        <v>321.36578441642257</v>
      </c>
      <c r="L30" s="3">
        <f t="shared" si="27"/>
        <v>4.5024012800541718E-2</v>
      </c>
      <c r="M30" s="12"/>
      <c r="N30" s="24">
        <f t="shared" si="28"/>
        <v>4.5024012800541718E-2</v>
      </c>
      <c r="O30" s="12">
        <f t="shared" si="35"/>
        <v>1149.83</v>
      </c>
      <c r="P30" s="12">
        <f t="shared" si="35"/>
        <v>170.96</v>
      </c>
      <c r="Q30" s="12">
        <f t="shared" si="35"/>
        <v>68.650000000000006</v>
      </c>
      <c r="R30" s="21">
        <f t="shared" si="29"/>
        <v>1710.8057844164227</v>
      </c>
      <c r="S30" s="11">
        <f t="shared" si="30"/>
        <v>4.6447597923029119E-2</v>
      </c>
      <c r="T30" s="13"/>
      <c r="U30" s="2">
        <f t="shared" si="31"/>
        <v>408380</v>
      </c>
      <c r="V30" s="13"/>
      <c r="W30" s="14">
        <f>SUM(R30-$R$15)/52</f>
        <v>1.4603035464696659</v>
      </c>
      <c r="X30" s="14">
        <f t="shared" si="8"/>
        <v>0.97353569764644388</v>
      </c>
      <c r="Y30" s="13"/>
      <c r="Z30" s="14">
        <f>(K30-$K$15)/52</f>
        <v>0.26626508493120365</v>
      </c>
      <c r="AA30" s="14">
        <f t="shared" si="3"/>
        <v>0.17751005662080244</v>
      </c>
    </row>
    <row r="31" spans="1:27">
      <c r="B31" s="10">
        <f>B30+38720</f>
        <v>18592390</v>
      </c>
      <c r="C31" s="10">
        <f t="shared" ref="C31" si="36">C30</f>
        <v>-9147680</v>
      </c>
      <c r="D31" s="10">
        <f t="shared" ref="D31" si="37">D30</f>
        <v>-1319000</v>
      </c>
      <c r="E31" s="15">
        <f t="shared" si="26"/>
        <v>8125710</v>
      </c>
      <c r="F31" s="10"/>
      <c r="G31" s="10"/>
      <c r="H31" s="11">
        <v>0.05</v>
      </c>
      <c r="I31" s="11"/>
      <c r="J31" s="11"/>
      <c r="K31" s="4">
        <f>E31/$K$33</f>
        <v>322.90446360022321</v>
      </c>
      <c r="L31" s="3">
        <f t="shared" si="27"/>
        <v>5.0027522113108833E-2</v>
      </c>
      <c r="M31" s="12"/>
      <c r="N31" s="24">
        <f t="shared" si="28"/>
        <v>5.0027522113108833E-2</v>
      </c>
      <c r="O31" s="12">
        <f t="shared" si="5"/>
        <v>1149.83</v>
      </c>
      <c r="P31" s="12">
        <f t="shared" si="6"/>
        <v>170.96</v>
      </c>
      <c r="Q31" s="12">
        <f t="shared" si="7"/>
        <v>68.650000000000006</v>
      </c>
      <c r="R31" s="21">
        <f t="shared" si="29"/>
        <v>1712.3444636002232</v>
      </c>
      <c r="S31" s="11">
        <f t="shared" si="30"/>
        <v>4.738876094137337E-2</v>
      </c>
      <c r="T31" s="13"/>
      <c r="U31" s="2">
        <f t="shared" si="31"/>
        <v>447100</v>
      </c>
      <c r="V31" s="13"/>
      <c r="W31" s="14">
        <f>SUM(R31-$R$15)/52</f>
        <v>1.489893530773521</v>
      </c>
      <c r="X31" s="14">
        <f t="shared" si="8"/>
        <v>0.99326235384901396</v>
      </c>
      <c r="Y31" s="13"/>
      <c r="Z31" s="14">
        <f>(K31-$K$15)/52</f>
        <v>0.29585506923506205</v>
      </c>
      <c r="AA31" s="14">
        <f t="shared" si="3"/>
        <v>0.19723671282337471</v>
      </c>
    </row>
    <row r="32" spans="1:27">
      <c r="B32" s="2"/>
      <c r="C32" s="2"/>
      <c r="D32" s="2"/>
      <c r="E32" s="2"/>
      <c r="F32" s="2"/>
      <c r="G32" s="2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3"/>
      <c r="U32" s="2"/>
      <c r="W32" s="7"/>
      <c r="X32" s="7"/>
      <c r="Z32" s="7"/>
      <c r="AA32" s="7"/>
    </row>
    <row r="33" spans="1:17">
      <c r="B33" t="s">
        <v>38</v>
      </c>
      <c r="K33" s="20">
        <v>25164.44</v>
      </c>
      <c r="L33" s="20"/>
      <c r="M33" s="20"/>
      <c r="N33" s="20"/>
      <c r="O33" s="3">
        <v>3.7999999999999999E-2</v>
      </c>
      <c r="P33" s="3">
        <v>9.6180000000000002E-2</v>
      </c>
      <c r="Q33" s="3">
        <v>7.8549999999999995E-2</v>
      </c>
    </row>
    <row r="34" spans="1:17">
      <c r="K34" s="9"/>
      <c r="L34" s="9"/>
      <c r="M34" s="9"/>
      <c r="N34" s="9"/>
      <c r="O34" s="3"/>
      <c r="P34" s="3"/>
      <c r="Q34" s="3"/>
    </row>
    <row r="35" spans="1:17">
      <c r="A35" t="str">
        <f>"*1 - Lancashire County Council precept estimated to increase by "&amp;TEXT(O33,"#0.#0%")&amp;", Lancashire Police Authority by "&amp;TEXT(P33,"#.#0%")&amp;" and Lancashire Combined Fire Authority by "&amp;TEXT(Q33,"#0.#0%")</f>
        <v>*1 - Lancashire County Council precept estimated to increase by 3.80%, Lancashire Police Authority by 9.62% and Lancashire Combined Fire Authority by 7.86%</v>
      </c>
    </row>
    <row r="37" spans="1:17">
      <c r="K37" s="22"/>
    </row>
    <row r="38" spans="1:17">
      <c r="P38" s="25">
        <f>((P15+15)-P15)/P15%</f>
        <v>9.6178507309566541</v>
      </c>
      <c r="Q38" s="25">
        <f>((Q15+5)-Q15)/Q15%</f>
        <v>7.8554595443833586</v>
      </c>
    </row>
    <row r="39" spans="1:17">
      <c r="K39" s="4"/>
    </row>
    <row r="40" spans="1:17">
      <c r="K40" s="23"/>
    </row>
  </sheetData>
  <mergeCells count="4">
    <mergeCell ref="K9:S9"/>
    <mergeCell ref="W9:X9"/>
    <mergeCell ref="Z9:AA9"/>
    <mergeCell ref="B25:AA25"/>
  </mergeCells>
  <phoneticPr fontId="1" type="noConversion"/>
  <pageMargins left="0.35433070866141736" right="0.23622047244094491" top="0.94488188976377963" bottom="0.98425196850393704" header="0.39370078740157483" footer="0.51181102362204722"/>
  <pageSetup paperSize="9" scale="61" orientation="landscape" r:id="rId1"/>
  <headerFooter alignWithMargins="0">
    <oddHeader>&amp;R&amp;"Arial,Bold"&amp;28Appendix 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14314-1F3E-42F9-BF36-9FF046E558AD}"/>
</file>

<file path=customXml/itemProps2.xml><?xml version="1.0" encoding="utf-8"?>
<ds:datastoreItem xmlns:ds="http://schemas.openxmlformats.org/officeDocument/2006/customXml" ds:itemID="{8E9BDE18-D871-4A95-B6E8-744535364486}"/>
</file>

<file path=customXml/itemProps3.xml><?xml version="1.0" encoding="utf-8"?>
<ds:datastoreItem xmlns:ds="http://schemas.openxmlformats.org/officeDocument/2006/customXml" ds:itemID="{019A3995-B743-4589-AD8E-EB0A6C07F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Borough of Pendle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Langton - Finance Manager</dc:creator>
  <cp:keywords/>
  <dc:description/>
  <cp:lastModifiedBy>Karen Spencer</cp:lastModifiedBy>
  <cp:revision/>
  <dcterms:created xsi:type="dcterms:W3CDTF">2008-01-25T08:57:22Z</dcterms:created>
  <dcterms:modified xsi:type="dcterms:W3CDTF">2026-02-12T13:39:49Z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