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February 2026/"/>
    </mc:Choice>
  </mc:AlternateContent>
  <xr:revisionPtr revIDLastSave="80" documentId="8_{DDF253D2-6ED2-4AA5-A8ED-8FE57AC485E5}" xr6:coauthVersionLast="47" xr6:coauthVersionMax="47" xr10:uidLastSave="{2787CA7B-5BF3-4CE9-9AEA-D6682A0EE2DA}"/>
  <bookViews>
    <workbookView xWindow="-4476" yWindow="-17388" windowWidth="30936" windowHeight="16776" firstSheet="1" activeTab="1" xr2:uid="{00000000-000D-0000-FFFF-FFFF00000000}"/>
  </bookViews>
  <sheets>
    <sheet name="Tables for Report" sheetId="9" state="hidden" r:id="rId1"/>
    <sheet name="App A - Final Firming Up" sheetId="6" r:id="rId2"/>
    <sheet name="App I - Management Team Prop" sheetId="10" state="hidden" r:id="rId3"/>
    <sheet name="App F(i) Savings Proposals (2)" sheetId="13" state="hidden" r:id="rId4"/>
    <sheet name="App J - Budget Proposal - CTNIL" sheetId="12" state="hidden" r:id="rId5"/>
    <sheet name="Reconcile MTFP to Proposal" sheetId="11" state="hidden" r:id="rId6"/>
    <sheet name="App E - Firming Up WP" sheetId="5" state="hidden" r:id="rId7"/>
    <sheet name="App I - Budget Proposal" sheetId="7" state="hidden" r:id="rId8"/>
    <sheet name="PLT Savings Options" sheetId="8" state="hidden" r:id="rId9"/>
    <sheet name="Sheet1" sheetId="1" state="hidden" r:id="rId10"/>
    <sheet name="Sheet2" sheetId="2" state="hidden" r:id="rId11"/>
    <sheet name="Sheet3" sheetId="3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HRA2" localSheetId="3">'[1]Workbook Index'!#REF!</definedName>
    <definedName name="___HRA2">'[1]Workbook Index'!#REF!</definedName>
    <definedName name="___sum2" localSheetId="3">'[1]Workbook Index'!#REF!</definedName>
    <definedName name="___sum2">'[1]Workbook Index'!#REF!</definedName>
    <definedName name="__HRA2" localSheetId="3">'[1]Workbook Index'!#REF!</definedName>
    <definedName name="__HRA2">'[1]Workbook Index'!#REF!</definedName>
    <definedName name="__sum2" localSheetId="3">'[1]Workbook Index'!#REF!</definedName>
    <definedName name="__sum2">'[1]Workbook Index'!#REF!</definedName>
    <definedName name="_HRA2" localSheetId="3">'[1]Workbook Index'!#REF!</definedName>
    <definedName name="_HRA2">'[1]Workbook Index'!#REF!</definedName>
    <definedName name="_sum2" localSheetId="3">'[1]Workbook Index'!#REF!</definedName>
    <definedName name="_sum2">'[1]Workbook Index'!#REF!</definedName>
    <definedName name="AccountList">'[2]Account &amp; OPU Mapping'!$I$1:$U$824</definedName>
    <definedName name="allofit" localSheetId="3">#REF!</definedName>
    <definedName name="allofit">#REF!</definedName>
    <definedName name="allofit2" localSheetId="3">#REF!</definedName>
    <definedName name="allofit2">#REF!</definedName>
    <definedName name="ALLRISKA" localSheetId="3">[3]Insurance!#REF!</definedName>
    <definedName name="ALLRISKA">[3]Insurance!#REF!</definedName>
    <definedName name="ALLRISKE" localSheetId="3">[3]Insurance!#REF!</definedName>
    <definedName name="ALLRISKE">[3]Insurance!#REF!</definedName>
    <definedName name="ALLRISKO" localSheetId="3">[3]Insurance!#REF!</definedName>
    <definedName name="ALLRISKO">[3]Insurance!#REF!</definedName>
    <definedName name="ALPHA" localSheetId="3">'[1]Workbook Index'!#REF!</definedName>
    <definedName name="ALPHA">'[1]Workbook Index'!#REF!</definedName>
    <definedName name="ALPHA2" localSheetId="3">'[1]Workbook Index'!#REF!</definedName>
    <definedName name="ALPHA2">'[1]Workbook Index'!#REF!</definedName>
    <definedName name="ALPHA3" localSheetId="3">'[1]Workbook Index'!#REF!</definedName>
    <definedName name="ALPHA3">'[1]Workbook Index'!#REF!</definedName>
    <definedName name="Alphabetical" localSheetId="3">'[1]Workbook Index'!#REF!</definedName>
    <definedName name="Alphabetical">'[1]Workbook Index'!#REF!</definedName>
    <definedName name="Area_Committee_Sum_Codes" localSheetId="3">#REF!</definedName>
    <definedName name="Area_Committee_Sum_Codes">#REF!</definedName>
    <definedName name="Area_Cttee_Codes" localSheetId="3">#REF!</definedName>
    <definedName name="Area_Cttee_Codes">#REF!</definedName>
    <definedName name="ARNMARKETA" localSheetId="3">[3]Insurance!#REF!</definedName>
    <definedName name="ARNMARKETA">[3]Insurance!#REF!</definedName>
    <definedName name="ARNMARKETE" localSheetId="3">[3]Insurance!#REF!</definedName>
    <definedName name="ARNMARKETE">[3]Insurance!#REF!</definedName>
    <definedName name="ARNMARKETO" localSheetId="3">[3]Insurance!#REF!</definedName>
    <definedName name="ARNMARKETO">[3]Insurance!#REF!</definedName>
    <definedName name="Asset" localSheetId="3">#REF!</definedName>
    <definedName name="Asset">#REF!</definedName>
    <definedName name="Assets" localSheetId="3">#REF!</definedName>
    <definedName name="Assets">#REF!</definedName>
    <definedName name="BC" localSheetId="3">#REF!</definedName>
    <definedName name="BC">#REF!</definedName>
    <definedName name="BSheet" localSheetId="3">#REF!</definedName>
    <definedName name="BSheet" localSheetId="8">#REF!</definedName>
    <definedName name="BSheet">#REF!</definedName>
    <definedName name="BSheet01" localSheetId="3">#REF!</definedName>
    <definedName name="BSheet01" localSheetId="8">#REF!</definedName>
    <definedName name="BSheet01">#REF!</definedName>
    <definedName name="BSheet02" localSheetId="3">#REF!</definedName>
    <definedName name="BSheet02" localSheetId="8">#REF!</definedName>
    <definedName name="BSheet02">#REF!</definedName>
    <definedName name="Budget" localSheetId="3">#REF!</definedName>
    <definedName name="Budget">#REF!</definedName>
    <definedName name="Building" localSheetId="3">#REF!</definedName>
    <definedName name="Building">#REF!</definedName>
    <definedName name="Cap" localSheetId="3">#REF!</definedName>
    <definedName name="Cap">#REF!</definedName>
    <definedName name="CAPITAL" localSheetId="3">#REF!</definedName>
    <definedName name="CAPITAL">#REF!</definedName>
    <definedName name="CBSNotes01" localSheetId="3">#REF!</definedName>
    <definedName name="CBSNotes01" localSheetId="8">#REF!</definedName>
    <definedName name="CBSNotes01">#REF!</definedName>
    <definedName name="CBSNotes02" localSheetId="3">#REF!</definedName>
    <definedName name="CBSNotes02" localSheetId="8">#REF!</definedName>
    <definedName name="CBSNotes02">#REF!</definedName>
    <definedName name="CBSNotes03" localSheetId="3">#REF!</definedName>
    <definedName name="CBSNotes03" localSheetId="8">#REF!</definedName>
    <definedName name="CBSNotes03">#REF!</definedName>
    <definedName name="CBSNotes04" localSheetId="3">#REF!</definedName>
    <definedName name="CBSNotes04" localSheetId="8">#REF!</definedName>
    <definedName name="CBSNotes04">#REF!</definedName>
    <definedName name="CFBands" localSheetId="3">#REF!</definedName>
    <definedName name="CFBands" localSheetId="8">#REF!</definedName>
    <definedName name="CFBands">#REF!</definedName>
    <definedName name="CFFund" localSheetId="3">#REF!</definedName>
    <definedName name="CFFund" localSheetId="8">#REF!</definedName>
    <definedName name="CFFund">#REF!</definedName>
    <definedName name="CFIncExp" localSheetId="3">#REF!</definedName>
    <definedName name="CFIncExp" localSheetId="8">#REF!</definedName>
    <definedName name="CFIncExp">#REF!</definedName>
    <definedName name="COACH" localSheetId="3">#REF!</definedName>
    <definedName name="COACH">#REF!</definedName>
    <definedName name="Code" localSheetId="3">[4]CODES!#REF!</definedName>
    <definedName name="Code">[4]CODES!#REF!</definedName>
    <definedName name="CODES" localSheetId="3">#REF!</definedName>
    <definedName name="CODES">#REF!</definedName>
    <definedName name="codes2" localSheetId="3">#REF!</definedName>
    <definedName name="codes2">#REF!</definedName>
    <definedName name="COMINDA" localSheetId="3">[3]Insurance!#REF!</definedName>
    <definedName name="COMINDA">[3]Insurance!#REF!</definedName>
    <definedName name="COMINDE" localSheetId="3">[3]Insurance!#REF!</definedName>
    <definedName name="COMINDE">[3]Insurance!#REF!</definedName>
    <definedName name="COMINDO" localSheetId="3">[3]Insurance!#REF!</definedName>
    <definedName name="COMINDO">[3]Insurance!#REF!</definedName>
    <definedName name="COMPUTA" localSheetId="3">[3]Insurance!#REF!</definedName>
    <definedName name="COMPUTA">[3]Insurance!#REF!</definedName>
    <definedName name="COMPUTE" localSheetId="3">[3]Insurance!#REF!</definedName>
    <definedName name="COMPUTE">[3]Insurance!#REF!</definedName>
    <definedName name="COMPUTO" localSheetId="3">[3]Insurance!#REF!</definedName>
    <definedName name="COMPUTO">[3]Insurance!#REF!</definedName>
    <definedName name="Consult" localSheetId="3">#REF!</definedName>
    <definedName name="Consult">#REF!</definedName>
    <definedName name="dep" localSheetId="3">#REF!</definedName>
    <definedName name="dep">#REF!</definedName>
    <definedName name="Development" localSheetId="3">#REF!</definedName>
    <definedName name="Development">#REF!</definedName>
    <definedName name="Earn" localSheetId="3">#REF!</definedName>
    <definedName name="Earn">#REF!</definedName>
    <definedName name="EARNINGTHRESHOLDCY" localSheetId="3">[5]Employees!#REF!</definedName>
    <definedName name="EARNINGTHRESHOLDCY">[5]Employees!#REF!</definedName>
    <definedName name="EARNINGTHRESHOLDNNNNY" localSheetId="3">[5]Employees!#REF!</definedName>
    <definedName name="EARNINGTHRESHOLDNNNNY">[5]Employees!#REF!</definedName>
    <definedName name="EARNINGTHRESHOLDNNNY" localSheetId="3">[5]Employees!#REF!</definedName>
    <definedName name="EARNINGTHRESHOLDNNNY">[5]Employees!#REF!</definedName>
    <definedName name="EARNINGTHRESHOLDNNY" localSheetId="3">[5]Employees!#REF!</definedName>
    <definedName name="EARNINGTHRESHOLDNNY">[5]Employees!#REF!</definedName>
    <definedName name="EARNINGTHRESHOLDNY" localSheetId="3">[5]Employees!#REF!</definedName>
    <definedName name="EARNINGTHRESHOLDNY">[5]Employees!#REF!</definedName>
    <definedName name="EMERG" localSheetId="3">#REF!</definedName>
    <definedName name="EMERG">#REF!</definedName>
    <definedName name="ENGA" localSheetId="3">[3]Insurance!#REF!</definedName>
    <definedName name="ENGA">[3]Insurance!#REF!</definedName>
    <definedName name="ENGE" localSheetId="3">[3]Insurance!#REF!</definedName>
    <definedName name="ENGE">[3]Insurance!#REF!</definedName>
    <definedName name="ENGO" localSheetId="3">[3]Insurance!#REF!</definedName>
    <definedName name="ENGO">[3]Insurance!#REF!</definedName>
    <definedName name="eric" localSheetId="3" hidden="1">{"'HRA HTML'!$A$1:$D$41"}</definedName>
    <definedName name="eric" localSheetId="2" hidden="1">{"'HRA HTML'!$A$1:$D$41"}</definedName>
    <definedName name="eric" localSheetId="4" hidden="1">{"'HRA HTML'!$A$1:$D$41"}</definedName>
    <definedName name="eric" hidden="1">{"'HRA HTML'!$A$1:$D$41"}</definedName>
    <definedName name="eric1" localSheetId="3" hidden="1">{"'HRA HTML'!$A$1:$D$41"}</definedName>
    <definedName name="eric1" localSheetId="2" hidden="1">{"'HRA HTML'!$A$1:$D$41"}</definedName>
    <definedName name="eric1" localSheetId="4" hidden="1">{"'HRA HTML'!$A$1:$D$41"}</definedName>
    <definedName name="eric1" hidden="1">{"'HRA HTML'!$A$1:$D$41"}</definedName>
    <definedName name="EXFUND" localSheetId="3">#REF!</definedName>
    <definedName name="EXFUND">#REF!</definedName>
    <definedName name="External" localSheetId="3">#REF!</definedName>
    <definedName name="External">#REF!</definedName>
    <definedName name="FEE" localSheetId="3">#REF!</definedName>
    <definedName name="FEE">#REF!</definedName>
    <definedName name="Forecast" localSheetId="3">#REF!</definedName>
    <definedName name="Forecast">#REF!</definedName>
    <definedName name="ForecastMonths" localSheetId="3">[5]Employees!#REF!</definedName>
    <definedName name="ForecastMonths">[5]Employees!#REF!</definedName>
    <definedName name="FULLMONTHPERIOD">[6]Lists!$C$1:$D$84</definedName>
    <definedName name="FULLMONTHS">[6]Lists!$C$1:$C$84</definedName>
    <definedName name="GAR" localSheetId="3">#REF!</definedName>
    <definedName name="GAR">#REF!</definedName>
    <definedName name="Garages" localSheetId="3">#REF!</definedName>
    <definedName name="Garages">#REF!</definedName>
    <definedName name="GF_Codes" localSheetId="3">#REF!</definedName>
    <definedName name="GF_Codes">#REF!</definedName>
    <definedName name="Grants">'[7]Grants etc'!$A$6:$F$119</definedName>
    <definedName name="HAA" localSheetId="3">#REF!</definedName>
    <definedName name="HAA">#REF!</definedName>
    <definedName name="HAAA" localSheetId="3">#REF!</definedName>
    <definedName name="HAAA">#REF!</definedName>
    <definedName name="HACK" localSheetId="3">#REF!</definedName>
    <definedName name="HACK">#REF!</definedName>
    <definedName name="HACT" localSheetId="3">#REF!</definedName>
    <definedName name="HACT">#REF!</definedName>
    <definedName name="HAssoc" localSheetId="3">#REF!</definedName>
    <definedName name="HAssoc">#REF!</definedName>
    <definedName name="HASSOCS" localSheetId="3">#REF!</definedName>
    <definedName name="HASSOCS">#REF!</definedName>
    <definedName name="Housing" localSheetId="3">'[1]Workbook Index'!#REF!</definedName>
    <definedName name="Housing">'[1]Workbook Index'!#REF!</definedName>
    <definedName name="HOUSING2" localSheetId="3">'[1]Workbook Index'!#REF!</definedName>
    <definedName name="HOUSING2">'[1]Workbook Index'!#REF!</definedName>
    <definedName name="HTML_CodePage" hidden="1">1252</definedName>
    <definedName name="HTML_Control" localSheetId="1" hidden="1">{"'HRA HTML'!$A$1:$D$41"}</definedName>
    <definedName name="HTML_Control" localSheetId="6" hidden="1">{"'HRA HTML'!$A$1:$D$41"}</definedName>
    <definedName name="HTML_Control" localSheetId="3" hidden="1">{"'HRA HTML'!$A$1:$D$41"}</definedName>
    <definedName name="HTML_Control" localSheetId="7" hidden="1">{"'HRA HTML'!$A$1:$D$41"}</definedName>
    <definedName name="HTML_Control" localSheetId="2" hidden="1">{"'HRA HTML'!$A$1:$D$41"}</definedName>
    <definedName name="HTML_Control" localSheetId="4" hidden="1">{"'HRA HTML'!$A$1:$D$41"}</definedName>
    <definedName name="HTML_Control" localSheetId="8" hidden="1">{"'HRA HTML'!$A$1:$D$41"}</definedName>
    <definedName name="HTML_Control" hidden="1">{"'HRA HTML'!$A$1:$D$41"}</definedName>
    <definedName name="html_control1" localSheetId="1" hidden="1">{"'HRA HTML'!$A$1:$D$41"}</definedName>
    <definedName name="html_control1" localSheetId="6" hidden="1">{"'HRA HTML'!$A$1:$D$41"}</definedName>
    <definedName name="html_control1" localSheetId="3" hidden="1">{"'HRA HTML'!$A$1:$D$41"}</definedName>
    <definedName name="html_control1" localSheetId="7" hidden="1">{"'HRA HTML'!$A$1:$D$41"}</definedName>
    <definedName name="html_control1" localSheetId="2" hidden="1">{"'HRA HTML'!$A$1:$D$41"}</definedName>
    <definedName name="html_control1" localSheetId="4" hidden="1">{"'HRA HTML'!$A$1:$D$41"}</definedName>
    <definedName name="html_control1" hidden="1">{"'HRA HTML'!$A$1:$D$41"}</definedName>
    <definedName name="HTML_Description" hidden="1">"Original Budget 2000/01; Revised Budget 2000/01 and Budget 2001/02"</definedName>
    <definedName name="HTML_Email" hidden="1">""</definedName>
    <definedName name="HTML_Header" hidden="1">"Housing Revenue Account"</definedName>
    <definedName name="HTML_LastUpdate" hidden="1">"05/12/2000"</definedName>
    <definedName name="HTML_LineAfter" hidden="1">TRUE</definedName>
    <definedName name="HTML_LineBefore" hidden="1">TRUE</definedName>
    <definedName name="HTML_Name" hidden="1">"Robert Cork"</definedName>
    <definedName name="HTML_OBDlg2" hidden="1">TRUE</definedName>
    <definedName name="HTML_OBDlg4" hidden="1">TRUE</definedName>
    <definedName name="HTML_OS" hidden="1">0</definedName>
    <definedName name="HTML_PathFile" hidden="1">"Z:\Accounts\RCork\Budget\Bud20012002\Test001.htm"</definedName>
    <definedName name="HTML_Title" hidden="1">"Budget 2001/02"</definedName>
    <definedName name="IDP" localSheetId="3">#REF!</definedName>
    <definedName name="IDP">#REF!</definedName>
    <definedName name="Ind" localSheetId="3">#REF!</definedName>
    <definedName name="Ind">#REF!</definedName>
    <definedName name="INDEST" localSheetId="3">#REF!</definedName>
    <definedName name="INDEST">#REF!</definedName>
    <definedName name="Int" localSheetId="3">#REF!</definedName>
    <definedName name="Int">#REF!</definedName>
    <definedName name="internal">[8]CapitalSpend!$D$2:$G$608</definedName>
    <definedName name="Inv_Outstanding_Raided_after_31_march_2004" localSheetId="3">#REF!</definedName>
    <definedName name="Inv_Outstanding_Raided_after_31_march_2004">#REF!</definedName>
    <definedName name="jim" localSheetId="3" hidden="1">{"'HRA HTML'!$A$1:$D$41"}</definedName>
    <definedName name="jim" localSheetId="2" hidden="1">{"'HRA HTML'!$A$1:$D$41"}</definedName>
    <definedName name="jim" localSheetId="4" hidden="1">{"'HRA HTML'!$A$1:$D$41"}</definedName>
    <definedName name="jim" hidden="1">{"'HRA HTML'!$A$1:$D$41"}</definedName>
    <definedName name="l" localSheetId="3">#REF!</definedName>
    <definedName name="l">#REF!</definedName>
    <definedName name="Land" localSheetId="3">#REF!</definedName>
    <definedName name="Land">#REF!</definedName>
    <definedName name="LANDCHA" localSheetId="3">[3]Insurance!#REF!</definedName>
    <definedName name="LANDCHA">[3]Insurance!#REF!</definedName>
    <definedName name="LANDCHE" localSheetId="3">[3]Insurance!#REF!</definedName>
    <definedName name="LANDCHE">[3]Insurance!#REF!</definedName>
    <definedName name="LANDCHO" localSheetId="3">[3]Insurance!#REF!</definedName>
    <definedName name="LANDCHO">[3]Insurance!#REF!</definedName>
    <definedName name="LEASEA" localSheetId="3">[3]Insurance!#REF!</definedName>
    <definedName name="LEASEA">[3]Insurance!#REF!</definedName>
    <definedName name="LEASEE" localSheetId="3">[3]Insurance!#REF!</definedName>
    <definedName name="LEASEE">[3]Insurance!#REF!</definedName>
    <definedName name="LEASEO" localSheetId="3">[3]Insurance!#REF!</definedName>
    <definedName name="LEASEO">[3]Insurance!#REF!</definedName>
    <definedName name="LEVI" localSheetId="3">#REF!</definedName>
    <definedName name="LEVI">#REF!</definedName>
    <definedName name="Levies" localSheetId="3">#REF!</definedName>
    <definedName name="Levies">#REF!</definedName>
    <definedName name="list" localSheetId="3">#REF!</definedName>
    <definedName name="list">#REF!</definedName>
    <definedName name="MonthsinYear">[6]Lists!$G$21:$G$32</definedName>
    <definedName name="MonthsinYearandPeriods">[6]Lists!$G$21:$H$32</definedName>
    <definedName name="MRP" localSheetId="3">#REF!</definedName>
    <definedName name="MRP">#REF!</definedName>
    <definedName name="mth">[6]Lists!$B$1:$C$84</definedName>
    <definedName name="NAMETREES" localSheetId="3">#REF!</definedName>
    <definedName name="NAMETREES">#REF!</definedName>
    <definedName name="NIRATECY" localSheetId="3">[5]Employees!#REF!</definedName>
    <definedName name="NIRATECY">[5]Employees!#REF!</definedName>
    <definedName name="NIRATENNNNY" localSheetId="3">[5]Employees!#REF!</definedName>
    <definedName name="NIRATENNNNY">[5]Employees!#REF!</definedName>
    <definedName name="NIRATENNNY" localSheetId="3">[5]Employees!#REF!</definedName>
    <definedName name="NIRATENNNY">[5]Employees!#REF!</definedName>
    <definedName name="NIRATENNY" localSheetId="3">[5]Employees!#REF!</definedName>
    <definedName name="NIRATENNY">[5]Employees!#REF!</definedName>
    <definedName name="NIRATENY" localSheetId="3">[5]Employees!#REF!</definedName>
    <definedName name="NIRATENY">[5]Employees!#REF!</definedName>
    <definedName name="NNDR" localSheetId="3">#REF!</definedName>
    <definedName name="NNDR">#REF!</definedName>
    <definedName name="NNDRCOLL" localSheetId="3">#REF!</definedName>
    <definedName name="NNDRCOLL">#REF!</definedName>
    <definedName name="NONFEE" localSheetId="3">#REF!</definedName>
    <definedName name="NONFEE">#REF!</definedName>
    <definedName name="opsk15" localSheetId="3">#REF!</definedName>
    <definedName name="opsk15">#REF!</definedName>
    <definedName name="OPUList">'[2]Account &amp; OPU Mapping'!$A$1:$G$1378</definedName>
    <definedName name="OrigForecast" localSheetId="3">#REF!</definedName>
    <definedName name="OrigForecast">#REF!</definedName>
    <definedName name="p" localSheetId="3">#REF!</definedName>
    <definedName name="p">#REF!</definedName>
    <definedName name="page" localSheetId="3">'[1]Workbook Index'!#REF!</definedName>
    <definedName name="page">'[1]Workbook Index'!#REF!</definedName>
    <definedName name="PANDR" localSheetId="3">'[1]Workbook Index'!#REF!</definedName>
    <definedName name="PANDR">'[1]Workbook Index'!#REF!</definedName>
    <definedName name="PANDR2" localSheetId="3">'[1]Workbook Index'!#REF!</definedName>
    <definedName name="PANDR2">'[1]Workbook Index'!#REF!</definedName>
    <definedName name="PayrollType">[6]Lists!$G$2:$G$3</definedName>
    <definedName name="Period">[6]Lists!$D$86</definedName>
    <definedName name="Policy" localSheetId="3">'[1]Workbook Index'!#REF!</definedName>
    <definedName name="Policy">'[1]Workbook Index'!#REF!</definedName>
    <definedName name="_xlnm.Print_Area" localSheetId="1">'App A - Final Firming Up'!$B$1:$G$38</definedName>
    <definedName name="_xlnm.Print_Area" localSheetId="6">'App E - Firming Up WP'!$B$1:$L$43</definedName>
    <definedName name="_xlnm.Print_Area" localSheetId="3">'App F(i) Savings Proposals (2)'!$A$1:$K$74</definedName>
    <definedName name="_xlnm.Print_Area" localSheetId="7">'App I - Budget Proposal'!$A$1:$I$112</definedName>
    <definedName name="_xlnm.Print_Area" localSheetId="2">'App I - Management Team Prop'!$A$1:$H$109</definedName>
    <definedName name="_xlnm.Print_Area" localSheetId="4">'App J - Budget Proposal - CTNIL'!$A$1:$H$109</definedName>
    <definedName name="_xlnm.Print_Area" localSheetId="8">'PLT Savings Options'!$A$1:$G$70</definedName>
    <definedName name="PSR" localSheetId="3">#REF!</definedName>
    <definedName name="PSR">#REF!</definedName>
    <definedName name="PSRG" localSheetId="3">#REF!</definedName>
    <definedName name="PSRG">#REF!</definedName>
    <definedName name="PUB" localSheetId="3">#REF!</definedName>
    <definedName name="PUB">#REF!</definedName>
    <definedName name="RATS" localSheetId="3">#REF!</definedName>
    <definedName name="RATS">#REF!</definedName>
    <definedName name="RCD">'[6]Front Cover'!$D$17</definedName>
    <definedName name="RCDDesc">'[6]Front Cover'!$D$19</definedName>
    <definedName name="Reg" localSheetId="3">#REF!</definedName>
    <definedName name="Reg">#REF!</definedName>
    <definedName name="REGEN2" localSheetId="3">'[1]Workbook Index'!#REF!</definedName>
    <definedName name="REGEN2">'[1]Workbook Index'!#REF!</definedName>
    <definedName name="Regeneration" localSheetId="3">'[1]Workbook Index'!#REF!</definedName>
    <definedName name="Regeneration">'[1]Workbook Index'!#REF!</definedName>
    <definedName name="REGI" localSheetId="3">#REF!</definedName>
    <definedName name="REGI">#REF!</definedName>
    <definedName name="Remodelling" localSheetId="3">#REF!</definedName>
    <definedName name="Remodelling">#REF!</definedName>
    <definedName name="Rodents" localSheetId="3">#REF!</definedName>
    <definedName name="Rodents">#REF!</definedName>
    <definedName name="SAFETY" localSheetId="3">#REF!</definedName>
    <definedName name="SAFETY">#REF!</definedName>
    <definedName name="Service" localSheetId="3">'[1]Workbook Index'!#REF!</definedName>
    <definedName name="Service">'[1]Workbook Index'!#REF!</definedName>
    <definedName name="Settle" localSheetId="3">#REF!</definedName>
    <definedName name="Settle">#REF!</definedName>
    <definedName name="spend">[7]CapitalRadius!$A$3:$F$302</definedName>
    <definedName name="STREES" localSheetId="3">#REF!</definedName>
    <definedName name="STREES">#REF!</definedName>
    <definedName name="Street" localSheetId="3">#REF!</definedName>
    <definedName name="Street">#REF!</definedName>
    <definedName name="sum" localSheetId="3">'[1]Workbook Index'!#REF!</definedName>
    <definedName name="sum">'[1]Workbook Index'!#REF!</definedName>
    <definedName name="Summaries" localSheetId="3">'[1]Workbook Index'!#REF!</definedName>
    <definedName name="Summaries">'[1]Workbook Index'!#REF!</definedName>
    <definedName name="Taxis" localSheetId="3">#REF!</definedName>
    <definedName name="Taxis">#REF!</definedName>
    <definedName name="TRADE" localSheetId="3">#REF!</definedName>
    <definedName name="TRADE">#REF!</definedName>
    <definedName name="UNITS" localSheetId="3">'[1]Workbook Index'!#REF!</definedName>
    <definedName name="UNITS">'[1]Workbook Index'!#REF!</definedName>
    <definedName name="units2" localSheetId="3">'[1]Workbook Index'!#REF!</definedName>
    <definedName name="units2">'[1]Workbook Index'!#REF!</definedName>
    <definedName name="WARD" localSheetId="3">#REF!</definedName>
    <definedName name="WARD">#REF!</definedName>
    <definedName name="xcodes">'[9]Cap Exp'!$A$492:$A$492</definedName>
    <definedName name="ZZZ_KMc_Budget" localSheetId="3">#REF!</definedName>
    <definedName name="ZZZ_KMc_Budg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6" l="1"/>
  <c r="F33" i="6"/>
  <c r="F35" i="6"/>
  <c r="B35" i="6"/>
  <c r="B34" i="6"/>
  <c r="B38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E33" i="6"/>
  <c r="F29" i="6"/>
  <c r="G29" i="6" s="1"/>
  <c r="F28" i="6"/>
  <c r="G28" i="6" s="1"/>
  <c r="F27" i="6"/>
  <c r="G27" i="6" s="1"/>
  <c r="F26" i="6"/>
  <c r="G26" i="6" s="1"/>
  <c r="F25" i="6"/>
  <c r="G25" i="6" s="1"/>
  <c r="F23" i="6"/>
  <c r="G23" i="6" s="1"/>
  <c r="F22" i="6"/>
  <c r="G22" i="6" s="1"/>
  <c r="E21" i="6"/>
  <c r="F21" i="6" s="1"/>
  <c r="G21" i="6" s="1"/>
  <c r="F20" i="6"/>
  <c r="G20" i="6" s="1"/>
  <c r="B2" i="6"/>
  <c r="E35" i="6" l="1"/>
  <c r="E38" i="6" s="1"/>
  <c r="G35" i="6"/>
  <c r="G38" i="6" s="1"/>
  <c r="F38" i="6"/>
  <c r="E48" i="6"/>
  <c r="K14" i="10" l="1"/>
  <c r="F23" i="10"/>
  <c r="G23" i="10" s="1"/>
  <c r="H23" i="10" s="1"/>
  <c r="F24" i="10"/>
  <c r="G24" i="10" s="1"/>
  <c r="H24" i="10" s="1"/>
  <c r="F25" i="10"/>
  <c r="G25" i="10" s="1"/>
  <c r="H25" i="10" s="1"/>
  <c r="F26" i="10"/>
  <c r="G26" i="10" s="1"/>
  <c r="H26" i="10" s="1"/>
  <c r="F27" i="10"/>
  <c r="G27" i="10" s="1"/>
  <c r="H27" i="10" s="1"/>
  <c r="F28" i="10"/>
  <c r="G28" i="10"/>
  <c r="H28" i="10" s="1"/>
  <c r="F29" i="10"/>
  <c r="G29" i="10" s="1"/>
  <c r="H29" i="10" s="1"/>
  <c r="F30" i="10"/>
  <c r="G30" i="10" s="1"/>
  <c r="H30" i="10" s="1"/>
  <c r="F31" i="10"/>
  <c r="G31" i="10" s="1"/>
  <c r="H31" i="10" s="1"/>
  <c r="F32" i="10"/>
  <c r="G32" i="10"/>
  <c r="H32" i="10" s="1"/>
  <c r="F33" i="10"/>
  <c r="G33" i="10" s="1"/>
  <c r="H33" i="10" s="1"/>
  <c r="F34" i="10"/>
  <c r="G34" i="10" s="1"/>
  <c r="H34" i="10" s="1"/>
  <c r="F35" i="10"/>
  <c r="G35" i="10" s="1"/>
  <c r="H35" i="10" s="1"/>
  <c r="F36" i="10"/>
  <c r="G36" i="10"/>
  <c r="H36" i="10" s="1"/>
  <c r="F37" i="10"/>
  <c r="G37" i="10" s="1"/>
  <c r="H37" i="10" s="1"/>
  <c r="F38" i="10"/>
  <c r="G38" i="10" s="1"/>
  <c r="H38" i="10" s="1"/>
  <c r="F39" i="10"/>
  <c r="G39" i="10" s="1"/>
  <c r="H39" i="10" s="1"/>
  <c r="F40" i="10"/>
  <c r="G40" i="10"/>
  <c r="H40" i="10" s="1"/>
  <c r="F41" i="10"/>
  <c r="G41" i="10" s="1"/>
  <c r="H41" i="10" s="1"/>
  <c r="F42" i="10"/>
  <c r="G42" i="10" s="1"/>
  <c r="H42" i="10" s="1"/>
  <c r="F43" i="10"/>
  <c r="G43" i="10" s="1"/>
  <c r="H43" i="10" s="1"/>
  <c r="F44" i="10"/>
  <c r="G44" i="10"/>
  <c r="H44" i="10" s="1"/>
  <c r="F45" i="10"/>
  <c r="G45" i="10" s="1"/>
  <c r="H45" i="10" s="1"/>
  <c r="G22" i="10"/>
  <c r="H22" i="10" s="1"/>
  <c r="F22" i="10"/>
  <c r="G108" i="13"/>
  <c r="H108" i="13" s="1"/>
  <c r="G109" i="13"/>
  <c r="H109" i="13" s="1"/>
  <c r="J109" i="13" s="1"/>
  <c r="J110" i="13"/>
  <c r="M84" i="13"/>
  <c r="I76" i="13"/>
  <c r="H76" i="13"/>
  <c r="G76" i="13"/>
  <c r="J72" i="13"/>
  <c r="M69" i="13"/>
  <c r="M71" i="13" s="1"/>
  <c r="M73" i="13" s="1"/>
  <c r="L69" i="13"/>
  <c r="L71" i="13" s="1"/>
  <c r="L73" i="13" s="1"/>
  <c r="K69" i="13"/>
  <c r="K71" i="13" s="1"/>
  <c r="K73" i="13" s="1"/>
  <c r="J68" i="13"/>
  <c r="I67" i="13"/>
  <c r="J67" i="13" s="1"/>
  <c r="J66" i="13"/>
  <c r="J65" i="13"/>
  <c r="J64" i="13"/>
  <c r="J63" i="13"/>
  <c r="J62" i="13"/>
  <c r="I61" i="13"/>
  <c r="H61" i="13"/>
  <c r="J60" i="13"/>
  <c r="J59" i="13"/>
  <c r="J58" i="13"/>
  <c r="J57" i="13"/>
  <c r="J56" i="13"/>
  <c r="J55" i="13"/>
  <c r="H54" i="13"/>
  <c r="J54" i="13" s="1"/>
  <c r="J53" i="13"/>
  <c r="J52" i="13"/>
  <c r="J51" i="13"/>
  <c r="J50" i="13"/>
  <c r="J49" i="13"/>
  <c r="J48" i="13"/>
  <c r="J47" i="13"/>
  <c r="J46" i="13"/>
  <c r="J45" i="13"/>
  <c r="J44" i="13"/>
  <c r="J43" i="13"/>
  <c r="J42" i="13"/>
  <c r="J97" i="13" s="1"/>
  <c r="J41" i="13"/>
  <c r="J40" i="13"/>
  <c r="J39" i="13"/>
  <c r="J38" i="13"/>
  <c r="J37" i="13"/>
  <c r="J36" i="13"/>
  <c r="J33" i="13"/>
  <c r="J32" i="13"/>
  <c r="J31" i="13"/>
  <c r="J95" i="13" s="1"/>
  <c r="J28" i="13"/>
  <c r="J27" i="13"/>
  <c r="J26" i="13"/>
  <c r="I22" i="13"/>
  <c r="H22" i="13"/>
  <c r="G22" i="13"/>
  <c r="J21" i="13"/>
  <c r="J20" i="13"/>
  <c r="J19" i="13"/>
  <c r="J18" i="13"/>
  <c r="J17" i="13"/>
  <c r="J16" i="13"/>
  <c r="J15" i="13"/>
  <c r="I12" i="13"/>
  <c r="I101" i="13" s="1"/>
  <c r="H12" i="13"/>
  <c r="G12" i="13"/>
  <c r="J11" i="13"/>
  <c r="B11" i="13"/>
  <c r="B12" i="13" s="1"/>
  <c r="J10" i="13"/>
  <c r="J96" i="13" l="1"/>
  <c r="H78" i="13"/>
  <c r="H101" i="13"/>
  <c r="I79" i="13"/>
  <c r="I102" i="13"/>
  <c r="G79" i="13"/>
  <c r="J79" i="13" s="1"/>
  <c r="G102" i="13"/>
  <c r="G78" i="13"/>
  <c r="G101" i="13"/>
  <c r="H79" i="13"/>
  <c r="H102" i="13"/>
  <c r="F48" i="6"/>
  <c r="J108" i="13"/>
  <c r="J12" i="13"/>
  <c r="J22" i="13"/>
  <c r="J61" i="13"/>
  <c r="H69" i="13"/>
  <c r="H103" i="13" s="1"/>
  <c r="I69" i="13"/>
  <c r="G69" i="13"/>
  <c r="I78" i="13"/>
  <c r="J76" i="13"/>
  <c r="E93" i="10"/>
  <c r="E17" i="10" s="1"/>
  <c r="H104" i="13" l="1"/>
  <c r="I87" i="13"/>
  <c r="I103" i="13"/>
  <c r="I104" i="13" s="1"/>
  <c r="J101" i="13"/>
  <c r="G48" i="6"/>
  <c r="J102" i="13"/>
  <c r="G87" i="13"/>
  <c r="G103" i="13"/>
  <c r="J103" i="13" s="1"/>
  <c r="G71" i="13"/>
  <c r="G73" i="13" s="1"/>
  <c r="I80" i="13"/>
  <c r="I81" i="13" s="1"/>
  <c r="I71" i="13"/>
  <c r="I73" i="13" s="1"/>
  <c r="G80" i="13"/>
  <c r="H71" i="13"/>
  <c r="H73" i="13" s="1"/>
  <c r="H87" i="13"/>
  <c r="H80" i="13"/>
  <c r="H83" i="13" s="1"/>
  <c r="J69" i="13"/>
  <c r="J98" i="13" s="1"/>
  <c r="J78" i="13"/>
  <c r="I83" i="13" l="1"/>
  <c r="J104" i="13"/>
  <c r="G104" i="13"/>
  <c r="G81" i="13"/>
  <c r="G83" i="13"/>
  <c r="J83" i="13" s="1"/>
  <c r="J87" i="13"/>
  <c r="J71" i="13"/>
  <c r="J73" i="13" s="1"/>
  <c r="J80" i="13"/>
  <c r="J81" i="13" s="1"/>
  <c r="H81" i="13"/>
  <c r="E66" i="10"/>
  <c r="E81" i="10" s="1"/>
  <c r="E89" i="10" s="1"/>
  <c r="B5" i="10"/>
  <c r="B15" i="10"/>
  <c r="B16" i="10" s="1"/>
  <c r="B17" i="10" s="1"/>
  <c r="B18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E87" i="10"/>
  <c r="E86" i="12"/>
  <c r="B15" i="12"/>
  <c r="B16" i="12" s="1"/>
  <c r="B17" i="12" s="1"/>
  <c r="B18" i="12" s="1"/>
  <c r="B19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9" i="12" s="1"/>
  <c r="B51" i="12" s="1"/>
  <c r="B54" i="12" s="1"/>
  <c r="B56" i="12" s="1"/>
  <c r="B58" i="12" s="1"/>
  <c r="B60" i="12" s="1"/>
  <c r="B5" i="12"/>
  <c r="E12" i="12"/>
  <c r="F12" i="12"/>
  <c r="H15" i="12"/>
  <c r="H107" i="12" s="1"/>
  <c r="E93" i="12"/>
  <c r="E95" i="12" s="1"/>
  <c r="E18" i="12" s="1"/>
  <c r="F91" i="12"/>
  <c r="G91" i="12" s="1"/>
  <c r="H91" i="12" s="1"/>
  <c r="F23" i="12"/>
  <c r="G23" i="12" s="1"/>
  <c r="H24" i="12"/>
  <c r="F25" i="12"/>
  <c r="G25" i="12" s="1"/>
  <c r="H25" i="12" s="1"/>
  <c r="F26" i="12"/>
  <c r="G26" i="12" s="1"/>
  <c r="H26" i="12" s="1"/>
  <c r="F27" i="12"/>
  <c r="G27" i="12" s="1"/>
  <c r="H27" i="12" s="1"/>
  <c r="F28" i="12"/>
  <c r="G28" i="12" s="1"/>
  <c r="H28" i="12" s="1"/>
  <c r="F29" i="12"/>
  <c r="G29" i="12" s="1"/>
  <c r="H29" i="12" s="1"/>
  <c r="F30" i="12"/>
  <c r="G30" i="12" s="1"/>
  <c r="H30" i="12" s="1"/>
  <c r="F31" i="12"/>
  <c r="G31" i="12" s="1"/>
  <c r="H31" i="12" s="1"/>
  <c r="F32" i="12"/>
  <c r="G32" i="12" s="1"/>
  <c r="H32" i="12" s="1"/>
  <c r="F33" i="12"/>
  <c r="G33" i="12" s="1"/>
  <c r="H33" i="12" s="1"/>
  <c r="H34" i="12"/>
  <c r="F35" i="12"/>
  <c r="G35" i="12" s="1"/>
  <c r="H35" i="12" s="1"/>
  <c r="F36" i="12"/>
  <c r="G36" i="12" s="1"/>
  <c r="H36" i="12" s="1"/>
  <c r="F37" i="12"/>
  <c r="G37" i="12" s="1"/>
  <c r="H37" i="12" s="1"/>
  <c r="F38" i="12"/>
  <c r="G38" i="12" s="1"/>
  <c r="H38" i="12" s="1"/>
  <c r="F39" i="12"/>
  <c r="G39" i="12" s="1"/>
  <c r="H39" i="12" s="1"/>
  <c r="F40" i="12"/>
  <c r="G40" i="12" s="1"/>
  <c r="H40" i="12" s="1"/>
  <c r="F41" i="12"/>
  <c r="G41" i="12" s="1"/>
  <c r="H41" i="12" s="1"/>
  <c r="F42" i="12"/>
  <c r="G42" i="12" s="1"/>
  <c r="H42" i="12" s="1"/>
  <c r="F43" i="12"/>
  <c r="G43" i="12" s="1"/>
  <c r="H43" i="12" s="1"/>
  <c r="F45" i="12"/>
  <c r="G45" i="12" s="1"/>
  <c r="H45" i="12" s="1"/>
  <c r="F46" i="12"/>
  <c r="G46" i="12" s="1"/>
  <c r="H46" i="12" s="1"/>
  <c r="F47" i="12"/>
  <c r="G47" i="12" s="1"/>
  <c r="H47" i="12" s="1"/>
  <c r="F48" i="12"/>
  <c r="G48" i="12" s="1"/>
  <c r="H48" i="12" s="1"/>
  <c r="F49" i="12"/>
  <c r="G49" i="12" s="1"/>
  <c r="H49" i="12" s="1"/>
  <c r="E51" i="12"/>
  <c r="I51" i="12" s="1"/>
  <c r="E83" i="12"/>
  <c r="E87" i="12"/>
  <c r="F83" i="12"/>
  <c r="F87" i="12"/>
  <c r="G83" i="12"/>
  <c r="G87" i="12"/>
  <c r="H83" i="12"/>
  <c r="H87" i="12"/>
  <c r="D95" i="12"/>
  <c r="E107" i="12"/>
  <c r="F107" i="12"/>
  <c r="G107" i="12"/>
  <c r="E108" i="12"/>
  <c r="F108" i="12"/>
  <c r="G108" i="12"/>
  <c r="H108" i="12"/>
  <c r="E120" i="12"/>
  <c r="E123" i="12"/>
  <c r="E124" i="12"/>
  <c r="E49" i="10"/>
  <c r="E120" i="10"/>
  <c r="E123" i="10"/>
  <c r="E124" i="10"/>
  <c r="F91" i="10"/>
  <c r="F93" i="10"/>
  <c r="G93" i="10" s="1"/>
  <c r="H93" i="10" s="1"/>
  <c r="F81" i="10"/>
  <c r="F87" i="10"/>
  <c r="G81" i="10"/>
  <c r="G87" i="10"/>
  <c r="H81" i="10"/>
  <c r="H87" i="10"/>
  <c r="F107" i="10"/>
  <c r="F108" i="10"/>
  <c r="G108" i="10"/>
  <c r="H108" i="10"/>
  <c r="G107" i="10"/>
  <c r="H107" i="10"/>
  <c r="E107" i="10"/>
  <c r="E108" i="10"/>
  <c r="D12" i="11"/>
  <c r="D11" i="11"/>
  <c r="D14" i="11"/>
  <c r="E12" i="11"/>
  <c r="E11" i="11"/>
  <c r="E14" i="11"/>
  <c r="C12" i="11"/>
  <c r="C11" i="11"/>
  <c r="C14" i="11"/>
  <c r="C15" i="11"/>
  <c r="D19" i="11"/>
  <c r="E19" i="11"/>
  <c r="C19" i="11"/>
  <c r="D18" i="11"/>
  <c r="E18" i="11"/>
  <c r="C18" i="11"/>
  <c r="E21" i="11"/>
  <c r="D16" i="11"/>
  <c r="D21" i="11"/>
  <c r="C16" i="11"/>
  <c r="D35" i="11"/>
  <c r="E35" i="11"/>
  <c r="C17" i="11"/>
  <c r="C21" i="11"/>
  <c r="C35" i="11"/>
  <c r="E3" i="11"/>
  <c r="D3" i="11"/>
  <c r="C3" i="11"/>
  <c r="E60" i="6"/>
  <c r="E55" i="6"/>
  <c r="E57" i="6" s="1"/>
  <c r="E58" i="6"/>
  <c r="F50" i="6"/>
  <c r="E50" i="6"/>
  <c r="F49" i="6"/>
  <c r="G49" i="6"/>
  <c r="E49" i="6"/>
  <c r="D95" i="10"/>
  <c r="O13" i="5"/>
  <c r="O43" i="5" s="1"/>
  <c r="L13" i="5"/>
  <c r="E89" i="7"/>
  <c r="E90" i="7" s="1"/>
  <c r="C15" i="9"/>
  <c r="C13" i="9"/>
  <c r="C14" i="9"/>
  <c r="C24" i="9"/>
  <c r="E65" i="7"/>
  <c r="C25" i="9" s="1"/>
  <c r="E86" i="7"/>
  <c r="E15" i="7"/>
  <c r="C28" i="9" s="1"/>
  <c r="B15" i="7"/>
  <c r="B16" i="7" s="1"/>
  <c r="B17" i="7" s="1"/>
  <c r="B18" i="7" s="1"/>
  <c r="B20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62" i="7" s="1"/>
  <c r="B63" i="7" s="1"/>
  <c r="B64" i="7" s="1"/>
  <c r="B67" i="7" s="1"/>
  <c r="B69" i="7" s="1"/>
  <c r="B71" i="7" s="1"/>
  <c r="B73" i="7" s="1"/>
  <c r="F65" i="7"/>
  <c r="F106" i="7" s="1"/>
  <c r="G65" i="7"/>
  <c r="G106" i="7" s="1"/>
  <c r="H65" i="7"/>
  <c r="H106" i="7" s="1"/>
  <c r="E58" i="7"/>
  <c r="E105" i="7" s="1"/>
  <c r="D13" i="9"/>
  <c r="D14" i="9"/>
  <c r="D15" i="9"/>
  <c r="E13" i="9"/>
  <c r="E14" i="9"/>
  <c r="E15" i="9"/>
  <c r="F13" i="9"/>
  <c r="F14" i="9"/>
  <c r="F15" i="9"/>
  <c r="F86" i="7"/>
  <c r="F90" i="7"/>
  <c r="E16" i="8"/>
  <c r="G16" i="8" s="1"/>
  <c r="A17" i="8"/>
  <c r="A18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E17" i="8"/>
  <c r="G17" i="8" s="1"/>
  <c r="E18" i="8"/>
  <c r="G18" i="8" s="1"/>
  <c r="E20" i="8"/>
  <c r="G20" i="8" s="1"/>
  <c r="E21" i="8"/>
  <c r="G21" i="8" s="1"/>
  <c r="E22" i="8"/>
  <c r="G22" i="8" s="1"/>
  <c r="E23" i="8"/>
  <c r="G23" i="8" s="1"/>
  <c r="E24" i="8"/>
  <c r="G24" i="8" s="1"/>
  <c r="E26" i="8"/>
  <c r="G26" i="8" s="1"/>
  <c r="E27" i="8"/>
  <c r="G27" i="8" s="1"/>
  <c r="E28" i="8"/>
  <c r="G28" i="8" s="1"/>
  <c r="E29" i="8"/>
  <c r="G29" i="8" s="1"/>
  <c r="A33" i="8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G68" i="8"/>
  <c r="F44" i="7"/>
  <c r="G44" i="7" s="1"/>
  <c r="H44" i="7" s="1"/>
  <c r="E96" i="7"/>
  <c r="E98" i="7" s="1"/>
  <c r="E18" i="7" s="1"/>
  <c r="F94" i="7"/>
  <c r="G94" i="7" s="1"/>
  <c r="H94" i="7" s="1"/>
  <c r="F38" i="7"/>
  <c r="F39" i="7"/>
  <c r="G39" i="7" s="1"/>
  <c r="H39" i="7" s="1"/>
  <c r="F40" i="7"/>
  <c r="G40" i="7" s="1"/>
  <c r="H40" i="7" s="1"/>
  <c r="F41" i="7"/>
  <c r="G41" i="7" s="1"/>
  <c r="H41" i="7" s="1"/>
  <c r="F42" i="7"/>
  <c r="G42" i="7" s="1"/>
  <c r="H42" i="7" s="1"/>
  <c r="F45" i="7"/>
  <c r="G45" i="7" s="1"/>
  <c r="H45" i="7" s="1"/>
  <c r="F46" i="7"/>
  <c r="G46" i="7" s="1"/>
  <c r="H46" i="7" s="1"/>
  <c r="F47" i="7"/>
  <c r="G47" i="7" s="1"/>
  <c r="H47" i="7" s="1"/>
  <c r="F48" i="7"/>
  <c r="G48" i="7" s="1"/>
  <c r="H48" i="7" s="1"/>
  <c r="F49" i="7"/>
  <c r="G49" i="7" s="1"/>
  <c r="H49" i="7" s="1"/>
  <c r="F50" i="7"/>
  <c r="G50" i="7" s="1"/>
  <c r="H50" i="7" s="1"/>
  <c r="F51" i="7"/>
  <c r="G51" i="7" s="1"/>
  <c r="H51" i="7" s="1"/>
  <c r="F52" i="7"/>
  <c r="G52" i="7" s="1"/>
  <c r="H52" i="7" s="1"/>
  <c r="F53" i="7"/>
  <c r="G53" i="7" s="1"/>
  <c r="H53" i="7" s="1"/>
  <c r="F54" i="7"/>
  <c r="G54" i="7" s="1"/>
  <c r="H54" i="7" s="1"/>
  <c r="F55" i="7"/>
  <c r="G55" i="7" s="1"/>
  <c r="H55" i="7" s="1"/>
  <c r="F56" i="7"/>
  <c r="G56" i="7" s="1"/>
  <c r="H56" i="7" s="1"/>
  <c r="F57" i="7"/>
  <c r="G57" i="7" s="1"/>
  <c r="H57" i="7" s="1"/>
  <c r="F43" i="7"/>
  <c r="G43" i="7" s="1"/>
  <c r="H43" i="7" s="1"/>
  <c r="H90" i="7"/>
  <c r="H86" i="7"/>
  <c r="H15" i="7"/>
  <c r="G16" i="7"/>
  <c r="G86" i="7"/>
  <c r="G90" i="7"/>
  <c r="B5" i="7"/>
  <c r="D84" i="7"/>
  <c r="D98" i="7"/>
  <c r="N43" i="5"/>
  <c r="M43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T35" i="5" s="1"/>
  <c r="L42" i="5"/>
  <c r="K43" i="5"/>
  <c r="J43" i="5"/>
  <c r="I43" i="5"/>
  <c r="H43" i="5"/>
  <c r="G43" i="5"/>
  <c r="F43" i="5"/>
  <c r="D43" i="5"/>
  <c r="B17" i="5"/>
  <c r="B19" i="5" s="1"/>
  <c r="B21" i="5" s="1"/>
  <c r="B23" i="5" s="1"/>
  <c r="B25" i="5" s="1"/>
  <c r="B27" i="5" s="1"/>
  <c r="B29" i="5" s="1"/>
  <c r="B33" i="5" s="1"/>
  <c r="B35" i="5" s="1"/>
  <c r="B37" i="5" s="1"/>
  <c r="B39" i="5" s="1"/>
  <c r="B41" i="5" s="1"/>
  <c r="B43" i="5" s="1"/>
  <c r="F47" i="6"/>
  <c r="G47" i="6"/>
  <c r="E47" i="6"/>
  <c r="F44" i="6"/>
  <c r="G44" i="6"/>
  <c r="D48" i="5"/>
  <c r="M48" i="5"/>
  <c r="N48" i="5"/>
  <c r="O48" i="5"/>
  <c r="D51" i="5"/>
  <c r="M51" i="5"/>
  <c r="N51" i="5"/>
  <c r="O51" i="5"/>
  <c r="D52" i="5"/>
  <c r="M52" i="5"/>
  <c r="N52" i="5"/>
  <c r="O52" i="5"/>
  <c r="D53" i="5"/>
  <c r="M53" i="5"/>
  <c r="N53" i="5"/>
  <c r="O53" i="5"/>
  <c r="D54" i="5"/>
  <c r="M54" i="5"/>
  <c r="N54" i="5"/>
  <c r="O54" i="5"/>
  <c r="D55" i="5"/>
  <c r="M55" i="5"/>
  <c r="N55" i="5"/>
  <c r="O55" i="5"/>
  <c r="D56" i="5"/>
  <c r="M56" i="5"/>
  <c r="D58" i="5"/>
  <c r="M58" i="5"/>
  <c r="N58" i="5"/>
  <c r="O58" i="5"/>
  <c r="D60" i="5"/>
  <c r="M60" i="5"/>
  <c r="N60" i="5"/>
  <c r="O60" i="5"/>
  <c r="N56" i="5" l="1"/>
  <c r="B43" i="10"/>
  <c r="B44" i="10" s="1"/>
  <c r="B45" i="10" s="1"/>
  <c r="B46" i="10" s="1"/>
  <c r="B47" i="10" s="1"/>
  <c r="B49" i="10" s="1"/>
  <c r="B52" i="10" s="1"/>
  <c r="B54" i="10" s="1"/>
  <c r="B56" i="10" s="1"/>
  <c r="B58" i="10" s="1"/>
  <c r="E102" i="10"/>
  <c r="F17" i="10"/>
  <c r="F12" i="7"/>
  <c r="F104" i="7" s="1"/>
  <c r="F51" i="6"/>
  <c r="G89" i="12"/>
  <c r="G54" i="12" s="1"/>
  <c r="G105" i="12" s="1"/>
  <c r="O56" i="5"/>
  <c r="O61" i="5" s="1"/>
  <c r="E59" i="6"/>
  <c r="E61" i="6" s="1"/>
  <c r="E63" i="6" s="1"/>
  <c r="F92" i="7"/>
  <c r="F67" i="7" s="1"/>
  <c r="F107" i="7" s="1"/>
  <c r="E89" i="12"/>
  <c r="E54" i="12" s="1"/>
  <c r="E105" i="12" s="1"/>
  <c r="M61" i="5"/>
  <c r="D61" i="5"/>
  <c r="F16" i="9"/>
  <c r="D17" i="11"/>
  <c r="H89" i="12"/>
  <c r="H54" i="12" s="1"/>
  <c r="H105" i="12" s="1"/>
  <c r="F89" i="12"/>
  <c r="F54" i="12" s="1"/>
  <c r="F105" i="12" s="1"/>
  <c r="F51" i="12"/>
  <c r="F102" i="12" s="1"/>
  <c r="G92" i="7"/>
  <c r="G67" i="7" s="1"/>
  <c r="G107" i="7" s="1"/>
  <c r="E95" i="10"/>
  <c r="H92" i="7"/>
  <c r="H67" i="7" s="1"/>
  <c r="H107" i="7" s="1"/>
  <c r="E102" i="12"/>
  <c r="F95" i="10"/>
  <c r="E122" i="10"/>
  <c r="C40" i="11"/>
  <c r="C41" i="11" s="1"/>
  <c r="C20" i="11" s="1"/>
  <c r="F58" i="7"/>
  <c r="E92" i="7"/>
  <c r="E67" i="7" s="1"/>
  <c r="C27" i="9" s="1"/>
  <c r="F96" i="7"/>
  <c r="F98" i="7" s="1"/>
  <c r="F18" i="7" s="1"/>
  <c r="F110" i="7" s="1"/>
  <c r="G66" i="8"/>
  <c r="G70" i="8" s="1"/>
  <c r="E106" i="7"/>
  <c r="G89" i="10"/>
  <c r="E40" i="11" s="1"/>
  <c r="E41" i="11" s="1"/>
  <c r="E20" i="11" s="1"/>
  <c r="F89" i="10"/>
  <c r="G91" i="10"/>
  <c r="G17" i="10" s="1"/>
  <c r="F93" i="12"/>
  <c r="G93" i="12" s="1"/>
  <c r="H93" i="12" s="1"/>
  <c r="H95" i="12" s="1"/>
  <c r="H18" i="12" s="1"/>
  <c r="L43" i="5"/>
  <c r="G38" i="7"/>
  <c r="G58" i="7" s="1"/>
  <c r="D10" i="11"/>
  <c r="G50" i="6"/>
  <c r="G51" i="6" s="1"/>
  <c r="D16" i="9"/>
  <c r="C10" i="11"/>
  <c r="E16" i="9"/>
  <c r="C16" i="9"/>
  <c r="C23" i="9" s="1"/>
  <c r="C26" i="9" s="1"/>
  <c r="C29" i="9" s="1"/>
  <c r="E10" i="11"/>
  <c r="E51" i="6"/>
  <c r="E12" i="7"/>
  <c r="E104" i="7" s="1"/>
  <c r="F12" i="10"/>
  <c r="F101" i="10" s="1"/>
  <c r="E12" i="10"/>
  <c r="E18" i="10" s="1"/>
  <c r="E56" i="10" s="1"/>
  <c r="N61" i="5"/>
  <c r="E110" i="7"/>
  <c r="H38" i="7"/>
  <c r="H58" i="7" s="1"/>
  <c r="E66" i="8"/>
  <c r="E70" i="8" s="1"/>
  <c r="H89" i="10"/>
  <c r="H52" i="10" s="1"/>
  <c r="H105" i="10" s="1"/>
  <c r="C45" i="11"/>
  <c r="C46" i="11" s="1"/>
  <c r="C22" i="11" s="1"/>
  <c r="E105" i="10"/>
  <c r="G49" i="10"/>
  <c r="G102" i="10" s="1"/>
  <c r="H49" i="10"/>
  <c r="H102" i="10" s="1"/>
  <c r="E17" i="11"/>
  <c r="D40" i="11"/>
  <c r="D41" i="11" s="1"/>
  <c r="D20" i="11" s="1"/>
  <c r="F105" i="10"/>
  <c r="F101" i="12"/>
  <c r="G105" i="10"/>
  <c r="H23" i="12"/>
  <c r="H51" i="12" s="1"/>
  <c r="H102" i="12" s="1"/>
  <c r="G51" i="12"/>
  <c r="E119" i="12"/>
  <c r="E121" i="12" s="1"/>
  <c r="E19" i="12"/>
  <c r="E101" i="12"/>
  <c r="E16" i="11"/>
  <c r="F49" i="10"/>
  <c r="G96" i="7" l="1"/>
  <c r="H96" i="7" s="1"/>
  <c r="H98" i="7" s="1"/>
  <c r="H18" i="7" s="1"/>
  <c r="H110" i="7" s="1"/>
  <c r="E58" i="12"/>
  <c r="E60" i="12" s="1"/>
  <c r="E107" i="7"/>
  <c r="J51" i="12"/>
  <c r="E58" i="10"/>
  <c r="C25" i="11" s="1"/>
  <c r="E122" i="12"/>
  <c r="E97" i="12"/>
  <c r="F97" i="12"/>
  <c r="D45" i="11"/>
  <c r="D46" i="11" s="1"/>
  <c r="D22" i="11" s="1"/>
  <c r="F100" i="7"/>
  <c r="D23" i="11"/>
  <c r="G95" i="12"/>
  <c r="G18" i="12" s="1"/>
  <c r="E125" i="12"/>
  <c r="F20" i="7"/>
  <c r="F71" i="7" s="1"/>
  <c r="C23" i="11"/>
  <c r="F95" i="12"/>
  <c r="F18" i="12" s="1"/>
  <c r="F19" i="12" s="1"/>
  <c r="F58" i="12" s="1"/>
  <c r="F103" i="12" s="1"/>
  <c r="F106" i="12" s="1"/>
  <c r="F109" i="12" s="1"/>
  <c r="E106" i="12"/>
  <c r="E109" i="12" s="1"/>
  <c r="E108" i="7"/>
  <c r="H91" i="10"/>
  <c r="G95" i="10"/>
  <c r="E45" i="11" s="1"/>
  <c r="E46" i="11" s="1"/>
  <c r="E22" i="11" s="1"/>
  <c r="E23" i="11" s="1"/>
  <c r="E20" i="7"/>
  <c r="E71" i="7" s="1"/>
  <c r="E73" i="7" s="1"/>
  <c r="E100" i="7"/>
  <c r="F18" i="10"/>
  <c r="F56" i="10" s="1"/>
  <c r="F103" i="10" s="1"/>
  <c r="E119" i="10"/>
  <c r="E121" i="10" s="1"/>
  <c r="E125" i="10" s="1"/>
  <c r="E101" i="10"/>
  <c r="E106" i="10" s="1"/>
  <c r="E109" i="10" s="1"/>
  <c r="E97" i="10"/>
  <c r="G12" i="12"/>
  <c r="G12" i="10"/>
  <c r="G12" i="7"/>
  <c r="G98" i="7"/>
  <c r="G18" i="7" s="1"/>
  <c r="G110" i="7" s="1"/>
  <c r="F102" i="10"/>
  <c r="F97" i="10"/>
  <c r="K51" i="12"/>
  <c r="G102" i="12"/>
  <c r="H95" i="10" l="1"/>
  <c r="H17" i="10"/>
  <c r="F73" i="7"/>
  <c r="G56" i="12"/>
  <c r="G54" i="10"/>
  <c r="F60" i="12"/>
  <c r="G69" i="7"/>
  <c r="F105" i="7"/>
  <c r="F108" i="7" s="1"/>
  <c r="F58" i="10"/>
  <c r="D25" i="11" s="1"/>
  <c r="D26" i="11" s="1"/>
  <c r="F106" i="10"/>
  <c r="F109" i="10" s="1"/>
  <c r="H12" i="10"/>
  <c r="H12" i="12"/>
  <c r="H12" i="7"/>
  <c r="G20" i="7"/>
  <c r="G100" i="7"/>
  <c r="G104" i="7"/>
  <c r="G18" i="10"/>
  <c r="G101" i="10"/>
  <c r="G97" i="10"/>
  <c r="G19" i="12"/>
  <c r="G97" i="12"/>
  <c r="G101" i="12"/>
  <c r="G58" i="12" l="1"/>
  <c r="G103" i="12" s="1"/>
  <c r="G106" i="12" s="1"/>
  <c r="G109" i="12" s="1"/>
  <c r="G56" i="10"/>
  <c r="G103" i="10" s="1"/>
  <c r="G106" i="10" s="1"/>
  <c r="G109" i="10" s="1"/>
  <c r="F45" i="11"/>
  <c r="F46" i="11" s="1"/>
  <c r="G71" i="7"/>
  <c r="G105" i="7" s="1"/>
  <c r="G108" i="7" s="1"/>
  <c r="H20" i="7"/>
  <c r="H100" i="7"/>
  <c r="H104" i="7"/>
  <c r="H19" i="12"/>
  <c r="H97" i="12"/>
  <c r="H101" i="12"/>
  <c r="H18" i="10"/>
  <c r="H97" i="10"/>
  <c r="H101" i="10"/>
  <c r="G58" i="10" l="1"/>
  <c r="E25" i="11" s="1"/>
  <c r="E26" i="11" s="1"/>
  <c r="H54" i="10"/>
  <c r="G60" i="12"/>
  <c r="H56" i="12"/>
  <c r="H58" i="12" s="1"/>
  <c r="H103" i="12" s="1"/>
  <c r="H106" i="12" s="1"/>
  <c r="H109" i="12" s="1"/>
  <c r="G73" i="7"/>
  <c r="H69" i="7"/>
  <c r="H71" i="7" s="1"/>
  <c r="H105" i="7" s="1"/>
  <c r="H108" i="7" s="1"/>
  <c r="H56" i="10"/>
  <c r="H103" i="10" s="1"/>
  <c r="H106" i="10" s="1"/>
  <c r="H109" i="10" s="1"/>
  <c r="H60" i="12" l="1"/>
  <c r="H58" i="10"/>
  <c r="H7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Langton</author>
  </authors>
  <commentList>
    <comment ref="G2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Dean Langton:</t>
        </r>
        <r>
          <rPr>
            <sz val="8"/>
            <color indexed="81"/>
            <rFont val="Tahoma"/>
            <family val="2"/>
          </rPr>
          <t xml:space="preserve">
This is R&amp;M only - carry on cleaning</t>
        </r>
      </text>
    </comment>
    <comment ref="G5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Dean Langton:</t>
        </r>
        <r>
          <rPr>
            <sz val="9"/>
            <color indexed="81"/>
            <rFont val="Tahoma"/>
            <family val="2"/>
          </rPr>
          <t xml:space="preserve">
Costs £52,800
Assume £12,800 retained for some operating costs</t>
        </r>
      </text>
    </comment>
    <comment ref="G112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Dean Langton:</t>
        </r>
        <r>
          <rPr>
            <sz val="8"/>
            <color indexed="81"/>
            <rFont val="Tahoma"/>
            <family val="2"/>
          </rPr>
          <t xml:space="preserve">
£43k less £6k for Storage which may still be required</t>
        </r>
      </text>
    </comment>
  </commentList>
</comments>
</file>

<file path=xl/sharedStrings.xml><?xml version="1.0" encoding="utf-8"?>
<sst xmlns="http://schemas.openxmlformats.org/spreadsheetml/2006/main" count="768" uniqueCount="419">
  <si>
    <t>Table 5: Revised Net Expenditure 2011/14</t>
  </si>
  <si>
    <t>Base</t>
  </si>
  <si>
    <t>Budget</t>
  </si>
  <si>
    <t>Forecast</t>
  </si>
  <si>
    <t>2012/13</t>
  </si>
  <si>
    <t>2013/14</t>
  </si>
  <si>
    <t>2014/15</t>
  </si>
  <si>
    <t>2015/16</t>
  </si>
  <si>
    <r>
      <t>Net Expenditure as at 14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Dec 2011 *1</t>
    </r>
  </si>
  <si>
    <r>
      <t xml:space="preserve">‘Firming Up’ Adjustments (see </t>
    </r>
    <r>
      <rPr>
        <b/>
        <sz val="11"/>
        <color indexed="12"/>
        <rFont val="Arial"/>
        <family val="2"/>
      </rPr>
      <t>Appendix D</t>
    </r>
    <r>
      <rPr>
        <sz val="11"/>
        <rFont val="Arial"/>
        <family val="2"/>
      </rPr>
      <t>)</t>
    </r>
  </si>
  <si>
    <t>Savings Implemented</t>
  </si>
  <si>
    <t>Revised Net Expenditure</t>
  </si>
  <si>
    <t>Revised Net Expenditure 2012/13 (per Table 5 above)</t>
  </si>
  <si>
    <r>
      <t xml:space="preserve">Proposed Savings (see </t>
    </r>
    <r>
      <rPr>
        <b/>
        <sz val="11"/>
        <color indexed="12"/>
        <rFont val="Arial"/>
        <family val="2"/>
      </rPr>
      <t>Appendix H(i)</t>
    </r>
    <r>
      <rPr>
        <sz val="11"/>
        <rFont val="Arial"/>
        <family val="2"/>
      </rPr>
      <t>)</t>
    </r>
  </si>
  <si>
    <r>
      <t xml:space="preserve">Proposed Growth (see </t>
    </r>
    <r>
      <rPr>
        <b/>
        <sz val="11"/>
        <color indexed="12"/>
        <rFont val="Arial"/>
        <family val="2"/>
      </rPr>
      <t>Appendix H(i)</t>
    </r>
    <r>
      <rPr>
        <sz val="11"/>
        <rFont val="Arial"/>
        <family val="2"/>
      </rPr>
      <t>)</t>
    </r>
  </si>
  <si>
    <t>Net Revenue Expenditure</t>
  </si>
  <si>
    <t>Use of Reserves</t>
  </si>
  <si>
    <t>Council Tax Requirement</t>
  </si>
  <si>
    <t>Pendle Borough Council</t>
  </si>
  <si>
    <t>Line</t>
  </si>
  <si>
    <t>2026/27</t>
  </si>
  <si>
    <t>2027/28</t>
  </si>
  <si>
    <t>2028/29</t>
  </si>
  <si>
    <t>No</t>
  </si>
  <si>
    <t>£</t>
  </si>
  <si>
    <t>Net Expenditure as reported to Executive in January 2026</t>
  </si>
  <si>
    <t>Firming Up Adjustments</t>
  </si>
  <si>
    <t>No Additional costs of Waste Transfer</t>
  </si>
  <si>
    <t>Savings from LCC Waste Tender for Waste Transfer</t>
  </si>
  <si>
    <t>Transport Costs for Waste Transfer to Burnley</t>
  </si>
  <si>
    <t xml:space="preserve">Additional Cost of MRP </t>
  </si>
  <si>
    <t>Additional Investment Income</t>
  </si>
  <si>
    <t>Training Budget</t>
  </si>
  <si>
    <t>Bad Debt Provision</t>
  </si>
  <si>
    <t>Reduction in Insurance Premiums</t>
  </si>
  <si>
    <t>Turnover Provision</t>
  </si>
  <si>
    <t>Finance Service Area (mainly subscriptions)</t>
  </si>
  <si>
    <t>Members Allowances</t>
  </si>
  <si>
    <t>Information Governance Officer</t>
  </si>
  <si>
    <t>Building Control Income</t>
  </si>
  <si>
    <t>Planning Income</t>
  </si>
  <si>
    <t>Planning Policy</t>
  </si>
  <si>
    <t>Bring HR back in house</t>
  </si>
  <si>
    <t>IT Software</t>
  </si>
  <si>
    <t>Homelessness, Rough Sleeping and Domestic Abuse Grant</t>
  </si>
  <si>
    <t>Recharges to Capital Programme for Central Administration</t>
  </si>
  <si>
    <t>Additional Reduction in Pension Contributions</t>
  </si>
  <si>
    <t>Other Variations</t>
  </si>
  <si>
    <t>Adjustment Support Grant</t>
  </si>
  <si>
    <t>Total Firming Up Adjustments</t>
  </si>
  <si>
    <t xml:space="preserve">Revised Net Expenditure </t>
  </si>
  <si>
    <t>£000</t>
  </si>
  <si>
    <t>Net Expenditure as at December 2014</t>
  </si>
  <si>
    <t>Technical Adjustment for Council Tax Freeze Grant 2014/15</t>
  </si>
  <si>
    <t xml:space="preserve">‘Firming Up’ Adjustments (as per Appendix x) </t>
  </si>
  <si>
    <t>Savings Approved</t>
  </si>
  <si>
    <t>Revised Net Expenditure 2015/16</t>
  </si>
  <si>
    <t>Net Expenditure as at Executive in December 2013</t>
  </si>
  <si>
    <t>Exclude Add Back of C</t>
  </si>
  <si>
    <t>Net Revenue Expenditure as at December 2013</t>
  </si>
  <si>
    <t>Medium Term Financial Plan 2015/18</t>
  </si>
  <si>
    <t>General Fund Revenue Budget 2015/16</t>
  </si>
  <si>
    <t>2016/17</t>
  </si>
  <si>
    <t>2017/18</t>
  </si>
  <si>
    <t>2018/19</t>
  </si>
  <si>
    <t>Risk</t>
  </si>
  <si>
    <t>Budget Requirement Post 'Firming Up' Adjustments</t>
  </si>
  <si>
    <t>Funding</t>
  </si>
  <si>
    <t>Government Funding (Retained Business Rate and RSG)</t>
  </si>
  <si>
    <t>Collection Fund Surplus</t>
  </si>
  <si>
    <t>Council Tax</t>
  </si>
  <si>
    <r>
      <t>Revised Deficit/</t>
    </r>
    <r>
      <rPr>
        <b/>
        <sz val="10"/>
        <color indexed="10"/>
        <rFont val="Arial"/>
        <family val="2"/>
      </rPr>
      <t>(Surplus)</t>
    </r>
  </si>
  <si>
    <t>Funded by:-</t>
  </si>
  <si>
    <t>Charging for Bulky Household Waste</t>
  </si>
  <si>
    <t>Administrative Charge for Replacement Wheeled Bins</t>
  </si>
  <si>
    <t>Review of Council Tax Discounts</t>
  </si>
  <si>
    <t>Transfer Playgrounds/Play Areas</t>
  </si>
  <si>
    <t>Transfer Repair and Maintenance of Passenger Shelters</t>
  </si>
  <si>
    <t>Staffing/Organisational Restructure</t>
  </si>
  <si>
    <t>Cessation of Funding for Outreach Workers</t>
  </si>
  <si>
    <t>Cessation of Environmental Action Group</t>
  </si>
  <si>
    <t>Reduction in the cost of Homelessness Provision</t>
  </si>
  <si>
    <t>Reduction in grant funding for Tourism</t>
  </si>
  <si>
    <t>Cessation of funding for Fence Village Library</t>
  </si>
  <si>
    <t>Cessation of General Small Grants Fund</t>
  </si>
  <si>
    <t>No contribution to PLACE</t>
  </si>
  <si>
    <t>Liberata - Volume Changes</t>
  </si>
  <si>
    <t>Pendle Leisure Trust - Reduction in Grant (Options to be Developed)</t>
  </si>
  <si>
    <t>Review of Contribution for PCSOs</t>
  </si>
  <si>
    <t>Cessation of budget for Community Safety Initiatives</t>
  </si>
  <si>
    <t>Reduction in Repairs and Maintenance expenditure in Countryside Access</t>
  </si>
  <si>
    <t>Reduce Members Allowances</t>
  </si>
  <si>
    <t>Reduction in Repairs and Maintenace expenditure in Town Centres</t>
  </si>
  <si>
    <t>Reduction in budget for Hardship Relief on LCTS</t>
  </si>
  <si>
    <t>Grounds Maintenance - Change in Specification</t>
  </si>
  <si>
    <t>Close Discover Pendle Centre</t>
  </si>
  <si>
    <t>Cessation of budget for Drugs Projects</t>
  </si>
  <si>
    <t>Total Savings Proposals</t>
  </si>
  <si>
    <t>PRIOR YEAR SAVINGS</t>
  </si>
  <si>
    <t>SAVINGS TO BE IDENTIFIED</t>
  </si>
  <si>
    <t>Cumulative Savings to be Identified</t>
  </si>
  <si>
    <t xml:space="preserve">Use of Reserves </t>
  </si>
  <si>
    <t xml:space="preserve"> - LABGI Reserve</t>
  </si>
  <si>
    <t xml:space="preserve"> - Empty Properties Reserves </t>
  </si>
  <si>
    <t xml:space="preserve"> - Pendle Leisure Trust Reserve</t>
  </si>
  <si>
    <t xml:space="preserve"> - Pension Reserve</t>
  </si>
  <si>
    <t xml:space="preserve"> - Revenue Expenditure Reserve</t>
  </si>
  <si>
    <t xml:space="preserve"> - Business Growth Incentive Reserve</t>
  </si>
  <si>
    <t xml:space="preserve"> - Events Reserve</t>
  </si>
  <si>
    <t xml:space="preserve"> - Performance Reward Grant Reserve</t>
  </si>
  <si>
    <t xml:space="preserve"> - Change Management Reserve</t>
  </si>
  <si>
    <t xml:space="preserve"> - Area Based Grant Reserve</t>
  </si>
  <si>
    <t xml:space="preserve"> - Repairs and Renewals Reserve</t>
  </si>
  <si>
    <t xml:space="preserve"> - Council Tax Support Reserve</t>
  </si>
  <si>
    <t xml:space="preserve"> - LAMS Reserve</t>
  </si>
  <si>
    <t xml:space="preserve"> - Local Development Framework Reserve</t>
  </si>
  <si>
    <t xml:space="preserve"> - HighStreet Innovation/Portas</t>
  </si>
  <si>
    <t>Total Spe</t>
  </si>
  <si>
    <t>Budget Strategy Reserves</t>
  </si>
  <si>
    <t>Waste Changes</t>
  </si>
  <si>
    <t>1.49% Council Tax only</t>
  </si>
  <si>
    <t>Total Use of Reserves</t>
  </si>
  <si>
    <t>Taxbase</t>
  </si>
  <si>
    <t>Council Tax Increase</t>
  </si>
  <si>
    <t>Proposed Band D Council Tax</t>
  </si>
  <si>
    <t>Council Tax Yield</t>
  </si>
  <si>
    <t>Recommended Council Tax Requirement</t>
  </si>
  <si>
    <t>Net Expenditure</t>
  </si>
  <si>
    <t>Savings Proposals</t>
  </si>
  <si>
    <t>Savings Required</t>
  </si>
  <si>
    <t>Growth Proposals</t>
  </si>
  <si>
    <t>Recommended Budget Requirement</t>
  </si>
  <si>
    <t>Government Funding</t>
  </si>
  <si>
    <t>Revised Net Expenditure 2014/15 (per Table 6 above)</t>
  </si>
  <si>
    <r>
      <t xml:space="preserve">Recommended Savings (see </t>
    </r>
    <r>
      <rPr>
        <b/>
        <sz val="12"/>
        <color indexed="12"/>
        <rFont val="Arial"/>
        <family val="2"/>
      </rPr>
      <t>Appendix F(i)</t>
    </r>
    <r>
      <rPr>
        <sz val="12"/>
        <rFont val="Arial"/>
        <family val="2"/>
      </rPr>
      <t>)</t>
    </r>
  </si>
  <si>
    <t>Estimate of Government Funding</t>
  </si>
  <si>
    <t xml:space="preserve"> - External Funding Reserve</t>
  </si>
  <si>
    <t xml:space="preserve"> - High Street and Portas Reserves</t>
  </si>
  <si>
    <t>Contribution to (from) General Fund Balance</t>
  </si>
  <si>
    <t>BUDGET REQUIREMENT (Excl Reserves)</t>
  </si>
  <si>
    <t>Medium Term Financial Plan - Potential Savings</t>
  </si>
  <si>
    <t>Target for Savings is c£3.1m over 3 years (2015/18)</t>
  </si>
  <si>
    <t>Proposed</t>
  </si>
  <si>
    <t>Total</t>
  </si>
  <si>
    <t>Savings</t>
  </si>
  <si>
    <t>2015/18</t>
  </si>
  <si>
    <t>Pro-Forma</t>
  </si>
  <si>
    <t>Strategic Plan</t>
  </si>
  <si>
    <t>Proposed Action</t>
  </si>
  <si>
    <t>Commentary</t>
  </si>
  <si>
    <t>GROWING</t>
  </si>
  <si>
    <t>Additional New Homes Bonus</t>
  </si>
  <si>
    <t>Reduce Empty Homes, Build New Homes</t>
  </si>
  <si>
    <t>Additional Business Rates Income</t>
  </si>
  <si>
    <t>Grow Business, Collect Business Rates</t>
  </si>
  <si>
    <t>Total Growing</t>
  </si>
  <si>
    <t>CHARGING</t>
  </si>
  <si>
    <t>CHGE1</t>
  </si>
  <si>
    <t>BP8</t>
  </si>
  <si>
    <t>Charging</t>
  </si>
  <si>
    <t>Report to Executive - September 2014 (Income Review)</t>
  </si>
  <si>
    <t>£10 (incl VAT) charge for collection</t>
  </si>
  <si>
    <t>CHGE2</t>
  </si>
  <si>
    <t>BP9</t>
  </si>
  <si>
    <t xml:space="preserve">£12 (incl VAT) charge for collection </t>
  </si>
  <si>
    <t>n/a</t>
  </si>
  <si>
    <t>Finance and Corporarte Services</t>
  </si>
  <si>
    <t>CHGE3</t>
  </si>
  <si>
    <t>Annual Increase in Fees and Charges</t>
  </si>
  <si>
    <t>CHGE4</t>
  </si>
  <si>
    <t>Change in Subscription Charge for Garden Waste</t>
  </si>
  <si>
    <t>Reduction in Council Tax Support (further 10% reduction)</t>
  </si>
  <si>
    <t>Medium Term Financial Plan Report - December 2014</t>
  </si>
  <si>
    <t>Total Charging</t>
  </si>
  <si>
    <t>SAVING</t>
  </si>
  <si>
    <t>Working with Town and Parish Councils</t>
  </si>
  <si>
    <t>PBC3</t>
  </si>
  <si>
    <t>Report to Executive - December 2014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</si>
  <si>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Strategic Review of Play Areas, MUGAs etc</t>
    </r>
  </si>
  <si>
    <t>PBC4</t>
  </si>
  <si>
    <t>BP4</t>
  </si>
  <si>
    <t>Report to Restructuring Committee</t>
  </si>
  <si>
    <t>Transfer to Town and Parish Councils</t>
  </si>
  <si>
    <t>PBC5</t>
  </si>
  <si>
    <t>Changes to CCTV Provision/Funding Arrangements</t>
  </si>
  <si>
    <t>BP14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</si>
  <si>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"Passive Monitoring" or Transfer to Town and Parish Councils or withdrawal</t>
    </r>
  </si>
  <si>
    <t>Restructuring Proposals</t>
  </si>
  <si>
    <t>PBC6</t>
  </si>
  <si>
    <t>Restructuring Committee</t>
  </si>
  <si>
    <t>PBC7</t>
  </si>
  <si>
    <t>BP2</t>
  </si>
  <si>
    <t>PBC9</t>
  </si>
  <si>
    <t>BP15</t>
  </si>
  <si>
    <t>Report to Executive - Decemeber 2014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</si>
  <si>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Review of the provision of the EAG</t>
    </r>
  </si>
  <si>
    <t>Other Proposals</t>
  </si>
  <si>
    <t>PBC10</t>
  </si>
  <si>
    <t>PBC11</t>
  </si>
  <si>
    <t>PBC12</t>
  </si>
  <si>
    <t>BP12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</si>
  <si>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Grants to Voluntary Groups etc</t>
    </r>
  </si>
  <si>
    <t>PBC13</t>
  </si>
  <si>
    <t>BP3</t>
  </si>
  <si>
    <t>PBC14</t>
  </si>
  <si>
    <t>PBC15</t>
  </si>
  <si>
    <t>BP21</t>
  </si>
  <si>
    <t>Subject to Change Request to/from Liberata</t>
  </si>
  <si>
    <t>PBC16</t>
  </si>
  <si>
    <t>PBC17</t>
  </si>
  <si>
    <t>BP17</t>
  </si>
  <si>
    <t>PBC18</t>
  </si>
  <si>
    <t>PBC19</t>
  </si>
  <si>
    <t>PBC20</t>
  </si>
  <si>
    <t>PBC21</t>
  </si>
  <si>
    <t>PBC22</t>
  </si>
  <si>
    <t>PBC23</t>
  </si>
  <si>
    <t>BP18</t>
  </si>
  <si>
    <t>PBC24</t>
  </si>
  <si>
    <t>BP6</t>
  </si>
  <si>
    <t>PBC25</t>
  </si>
  <si>
    <t>PBC26</t>
  </si>
  <si>
    <t>Reduction in support for Modern Apprenticeships</t>
  </si>
  <si>
    <t>PBC27</t>
  </si>
  <si>
    <t>Move staff from Number One to Nelson Town Hall</t>
  </si>
  <si>
    <t>PBC28</t>
  </si>
  <si>
    <t>Change in provision of Dog Warden Service</t>
  </si>
  <si>
    <t>PBC29</t>
  </si>
  <si>
    <t>Other Staffing Changes</t>
  </si>
  <si>
    <r>
      <rPr>
        <b/>
        <sz val="10"/>
        <rFont val="Arial"/>
        <family val="2"/>
      </rPr>
      <t>SPENDING REVIEW</t>
    </r>
    <r>
      <rPr>
        <sz val="10"/>
        <rFont val="Arial"/>
        <family val="2"/>
      </rPr>
      <t xml:space="preserve"> - Strategic Review of Leisure, Culture and Arts Services</t>
    </r>
  </si>
  <si>
    <t>PBC30</t>
  </si>
  <si>
    <t xml:space="preserve">Liberata - Withdrawal of Cash Collection at Barnoldswick </t>
  </si>
  <si>
    <t>Channel Shift</t>
  </si>
  <si>
    <t>PBC31</t>
  </si>
  <si>
    <t>Liberata - Withdrawal of Cash Collection at Nelson</t>
  </si>
  <si>
    <t>PBC32</t>
  </si>
  <si>
    <t>Reduce support for CAB</t>
  </si>
  <si>
    <t>PBC33</t>
  </si>
  <si>
    <t>Cessation of Talented Athletes Grants</t>
  </si>
  <si>
    <t>PBC34</t>
  </si>
  <si>
    <t>Reduction in funding for Land Drainage</t>
  </si>
  <si>
    <t>PBC35</t>
  </si>
  <si>
    <t>Savings from Vehicle Changes in Waste</t>
  </si>
  <si>
    <t>PBC36</t>
  </si>
  <si>
    <t>Vehicle Supply and Maintenance Contract</t>
  </si>
  <si>
    <t>Strategic Procurement</t>
  </si>
  <si>
    <t>PBC37</t>
  </si>
  <si>
    <t>Liberata - Other Changes in Specification</t>
  </si>
  <si>
    <t>PBC38</t>
  </si>
  <si>
    <t>Phase out Area Committee Revenue Budget</t>
  </si>
  <si>
    <t>BP1</t>
  </si>
  <si>
    <t>PBC39</t>
  </si>
  <si>
    <t>Delete Economic Development Promotions Budget</t>
  </si>
  <si>
    <t>PBC40</t>
  </si>
  <si>
    <t>Withdrawal of Route Subsidy</t>
  </si>
  <si>
    <t>PBC41</t>
  </si>
  <si>
    <t>Recycling Team and Vehicle Changes</t>
  </si>
  <si>
    <t>20% reduction in Members Allowances over 2 years</t>
  </si>
  <si>
    <t>PBC42</t>
  </si>
  <si>
    <t>Reduce the size of the Council/Move to 4-yearly elections</t>
  </si>
  <si>
    <t>Medium term option</t>
  </si>
  <si>
    <t>Total Savings</t>
  </si>
  <si>
    <t>Total Proposals</t>
  </si>
  <si>
    <t>Target Savings</t>
  </si>
  <si>
    <t>In Year Savings Required</t>
  </si>
  <si>
    <t>Growing</t>
  </si>
  <si>
    <t>Saving</t>
  </si>
  <si>
    <t>Shortfall/(Surplus)</t>
  </si>
  <si>
    <t>Staffing</t>
  </si>
  <si>
    <t>Liberata</t>
  </si>
  <si>
    <t>Leisure Trust</t>
  </si>
  <si>
    <t>PBC1</t>
  </si>
  <si>
    <t>No Town and Parish Council Grants</t>
  </si>
  <si>
    <t>Report to Executive/Council in September 2014</t>
  </si>
  <si>
    <t>Withdrawal of support over 2 year period</t>
  </si>
  <si>
    <t>PBC2</t>
  </si>
  <si>
    <t>No LCTS Grant to Town and Parish Councils</t>
  </si>
  <si>
    <t>PBC8</t>
  </si>
  <si>
    <t>Transfer of Countryside Access back to LCC</t>
  </si>
  <si>
    <t>BP7</t>
  </si>
  <si>
    <t>Transfer function back to Lancashire County Council</t>
  </si>
  <si>
    <t>Transfer to Town and Parish Councils or withdrawal</t>
  </si>
  <si>
    <t>General Fund Revenue Budget 2014/15</t>
  </si>
  <si>
    <t>Council Tax Freeze Grant</t>
  </si>
  <si>
    <t>No Repair and Maintenance of Passenger Shelters</t>
  </si>
  <si>
    <t>Cessation of Highways Verge Cutting</t>
  </si>
  <si>
    <t>Countryside Access</t>
  </si>
  <si>
    <t>Garden Waste Charges</t>
  </si>
  <si>
    <t>Delete Contingency Budget</t>
  </si>
  <si>
    <t>Cessation of funding for Heritage Trust for North West</t>
  </si>
  <si>
    <t>Events Budget</t>
  </si>
  <si>
    <t>Changes to CCTV Provision</t>
  </si>
  <si>
    <t>No funding for Decorations for Christmas and Eid</t>
  </si>
  <si>
    <t>No contribution to PCSOs</t>
  </si>
  <si>
    <t>Street Cleansing - Changes in Specification</t>
  </si>
  <si>
    <t>Waste Management - Change Specification</t>
  </si>
  <si>
    <t>Liberata Related Budgets</t>
  </si>
  <si>
    <t xml:space="preserve"> - Reduction in Recruitment Budget</t>
  </si>
  <si>
    <t xml:space="preserve"> - Reduction in Training Budget</t>
  </si>
  <si>
    <t xml:space="preserve"> - Reduction in cost of IT Support</t>
  </si>
  <si>
    <t xml:space="preserve"> - Release of Volumes Provision</t>
  </si>
  <si>
    <t>Pendle Leisure Trust - See Separate Analysis</t>
  </si>
  <si>
    <t>Reconciliation to Medium Term Financial Plan</t>
  </si>
  <si>
    <t>As per MTFP</t>
  </si>
  <si>
    <t>Extra New Homes Bonus</t>
  </si>
  <si>
    <t>Extra ESG</t>
  </si>
  <si>
    <t>Pensions Adjustments</t>
  </si>
  <si>
    <t xml:space="preserve"> - Reduction in Employers Contributions</t>
  </si>
  <si>
    <t xml:space="preserve"> - Change in Pension Reserve</t>
  </si>
  <si>
    <t>Saving Approved</t>
  </si>
  <si>
    <t>Savings Proposed</t>
  </si>
  <si>
    <t>Change in Funding</t>
  </si>
  <si>
    <t>Change in Reserves 1</t>
  </si>
  <si>
    <t>Change in Reserves 2</t>
  </si>
  <si>
    <t>Change in Collection Fund Surplus</t>
  </si>
  <si>
    <t>As per Budget Proposal</t>
  </si>
  <si>
    <t>Change in Use of Reserves</t>
  </si>
  <si>
    <t>MTFP</t>
  </si>
  <si>
    <t>Budget Proposal</t>
  </si>
  <si>
    <t>General Fund Revenue Budget 2012/13 - 'Firming Up' Adjustments v.1</t>
  </si>
  <si>
    <t>2011/12</t>
  </si>
  <si>
    <t>(per Report to</t>
  </si>
  <si>
    <t>Executive</t>
  </si>
  <si>
    <t>Management</t>
  </si>
  <si>
    <t>Team</t>
  </si>
  <si>
    <t>08/02/11)</t>
  </si>
  <si>
    <t>Net Expenditure as reported to Executive in December 2012</t>
  </si>
  <si>
    <t>Net Expenditure as at December 2010</t>
  </si>
  <si>
    <t>Transition Grant</t>
  </si>
  <si>
    <t>Revised Net Expenditure 2011/12</t>
  </si>
  <si>
    <t>General Fund Revenue Budget 2012/13</t>
  </si>
  <si>
    <t>Formula Grant</t>
  </si>
  <si>
    <t>Council Tax Freeze Grant 2011/12</t>
  </si>
  <si>
    <t>Council Tax (No increase in 2012/13)</t>
  </si>
  <si>
    <t>Reduction in Use of Transition Grant</t>
  </si>
  <si>
    <t>Contribution to Service Costs</t>
  </si>
  <si>
    <t>Modern Apprenticeships</t>
  </si>
  <si>
    <t>Groundworks Trust</t>
  </si>
  <si>
    <t>Multi-Racial Playbus</t>
  </si>
  <si>
    <t>Building Bridges</t>
  </si>
  <si>
    <t>Pendle Leisure Trust</t>
  </si>
  <si>
    <t>Pendle Community Network</t>
  </si>
  <si>
    <t>Locality Working</t>
  </si>
  <si>
    <t>Tourism and Events</t>
  </si>
  <si>
    <t>Funding Contribution to PEARL2</t>
  </si>
  <si>
    <t xml:space="preserve">Business Support </t>
  </si>
  <si>
    <t>Other Service Related Savings</t>
  </si>
  <si>
    <t>Reduced Opening Hours for Markets</t>
  </si>
  <si>
    <t>Changes to Customer Services</t>
  </si>
  <si>
    <t xml:space="preserve"> - Closure of Brierfield Council Shop</t>
  </si>
  <si>
    <t xml:space="preserve"> - Closure of Earby Council Shop</t>
  </si>
  <si>
    <t xml:space="preserve"> - Change to Telephone Contact Centre Opening Times (8.45am to 4pm)</t>
  </si>
  <si>
    <t>No inflation on the grant to Pendle Leisure Trust</t>
  </si>
  <si>
    <t>Net Reduction of Leisure Trust Grant</t>
  </si>
  <si>
    <t>Reduction in Grant to Earby Mines Trust (from £5,000)</t>
  </si>
  <si>
    <t>No Grant to Forest of Bowland AONB</t>
  </si>
  <si>
    <t>Change in Members Allowances Scheme (14% Reduction)</t>
  </si>
  <si>
    <t>Repairs, Maintenance and Provision of Passenger Shelters</t>
  </si>
  <si>
    <t>Detached Workers</t>
  </si>
  <si>
    <t>Review of Public Conveniences</t>
  </si>
  <si>
    <t>Transfer of Countryside Access Service to LCC</t>
  </si>
  <si>
    <t>50% funding for Decorations for Christmas and EID</t>
  </si>
  <si>
    <t>Reduce Area Committee Revenue Budget</t>
  </si>
  <si>
    <t>Charging for Bulky Household Waste/Collection of White Goods</t>
  </si>
  <si>
    <t>Charging for Replacement Waste Bins and Boxes</t>
  </si>
  <si>
    <t>Efficiencies in Landscape Maintenance Budget</t>
  </si>
  <si>
    <t>Alternative Provision for Discover Pendle</t>
  </si>
  <si>
    <t>Sustaining Key Services</t>
  </si>
  <si>
    <r>
      <t xml:space="preserve">Environmental Action Group (EAG) - </t>
    </r>
    <r>
      <rPr>
        <b/>
        <sz val="10"/>
        <rFont val="Arial"/>
        <family val="2"/>
      </rPr>
      <t>One Year Only</t>
    </r>
  </si>
  <si>
    <r>
      <t xml:space="preserve">Tackling Unemployment Project (TUP) - </t>
    </r>
    <r>
      <rPr>
        <b/>
        <sz val="10"/>
        <rFont val="Arial"/>
        <family val="2"/>
      </rPr>
      <t>One Year Only</t>
    </r>
  </si>
  <si>
    <r>
      <t xml:space="preserve">Events Programme 2012/13 - </t>
    </r>
    <r>
      <rPr>
        <b/>
        <sz val="10"/>
        <rFont val="Arial"/>
        <family val="2"/>
      </rPr>
      <t>One Year Only</t>
    </r>
  </si>
  <si>
    <t xml:space="preserve"> - ABG Reserve</t>
  </si>
  <si>
    <t>Budget Strategy Reserves Adjustment</t>
  </si>
  <si>
    <t>Pendle Leisure Trust - Outline Options v.1</t>
  </si>
  <si>
    <t>The following are additional options provided by Pendle Leisure Trust. They are shown separately below as some are not mutually exclusive</t>
  </si>
  <si>
    <t>NB. Some policy options will result in staff reductions.</t>
  </si>
  <si>
    <t>PLT</t>
  </si>
  <si>
    <t>Options</t>
  </si>
  <si>
    <t>Recommend</t>
  </si>
  <si>
    <t>General Savings Options</t>
  </si>
  <si>
    <t>Utilisation of gas provision</t>
  </si>
  <si>
    <t>Operational employee efficiencies</t>
  </si>
  <si>
    <t>Staffing reduction – Box Office</t>
  </si>
  <si>
    <t>Changes to Terms and Conditions – being negotiated*</t>
  </si>
  <si>
    <t xml:space="preserve"> - Increase in working hours from 37 to 39 for same pay</t>
  </si>
  <si>
    <t xml:space="preserve"> - Bank holiday entitlement allowance changes</t>
  </si>
  <si>
    <t xml:space="preserve"> - Mileage allowance rate reduction</t>
  </si>
  <si>
    <t>Additional reduction of staff posts</t>
  </si>
  <si>
    <t>Reduction in subscriptions, fees to professional bodies</t>
  </si>
  <si>
    <t>Delay in refurbishment / replacement of gym equipment</t>
  </si>
  <si>
    <t>Pendle Wavelengths, savings in finance costs</t>
  </si>
  <si>
    <t>ACE Centre operational efficiencies</t>
  </si>
  <si>
    <t>MPGC operational efficiencies</t>
  </si>
  <si>
    <t>Increase in membership price 3%</t>
  </si>
  <si>
    <t>Reduction to Service Options</t>
  </si>
  <si>
    <t>Close for two weeks over Christmas period</t>
  </si>
  <si>
    <t xml:space="preserve"> - Pendle Leisure Centre</t>
  </si>
  <si>
    <t xml:space="preserve"> - West Craven Sports Centre</t>
  </si>
  <si>
    <t>Close a facility for two days per week (full year)</t>
  </si>
  <si>
    <t xml:space="preserve"> - ACE Centre</t>
  </si>
  <si>
    <t>Close a facility for two days per week (Nov – Mar)</t>
  </si>
  <si>
    <t>Cancellation of Camerata Series</t>
  </si>
  <si>
    <t xml:space="preserve">Cancellation of Blues Festival </t>
  </si>
  <si>
    <t>Closure Of:-</t>
  </si>
  <si>
    <t xml:space="preserve"> - Pendle Leisure Centre Sauna Suite</t>
  </si>
  <si>
    <t xml:space="preserve"> - Pendle Leisure Centre - Main Swimming Pool (Nov to Mar)</t>
  </si>
  <si>
    <t>Closure Of Facility</t>
  </si>
  <si>
    <t>8.              Price Increases - Whilst very difficult to forecast real effect it is now accepted that any price increase is being met by income reductions by price resistance.  Therefore:-</t>
  </si>
  <si>
    <t>5% Price Increase 1 April 2012 with 2% resistance</t>
  </si>
  <si>
    <t xml:space="preserve">7.5% Price Increase 1 April 2012 with 3% resistance </t>
  </si>
  <si>
    <t>10% Price Increase 1 April 2012 with 4% resistance</t>
  </si>
  <si>
    <t>Reduction in Grant to Leisure Trust</t>
  </si>
  <si>
    <t>Annual Charges</t>
  </si>
  <si>
    <t>Design</t>
  </si>
  <si>
    <t>Implementation</t>
  </si>
  <si>
    <t>Software</t>
  </si>
  <si>
    <t>Land Charges</t>
  </si>
  <si>
    <t>Ironkey Solution</t>
  </si>
  <si>
    <t>Elections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</si>
</sst>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;\(#,##0\);&quot;-&quot;???"/>
    <numFmt numFmtId="168" formatCode="#,##0;[Red]\(#,##0\);&quot;-&quot;???"/>
    <numFmt numFmtId="169" formatCode="_-* #,##0_-;\(#,##0\);_-* &quot;-&quot;??_-;_-@_-"/>
    <numFmt numFmtId="170" formatCode="_-* #,##0_-;\-* #,##0_-;_-* &quot;-&quot;??_-;_-@_-"/>
    <numFmt numFmtId="171" formatCode="0.0"/>
    <numFmt numFmtId="172" formatCode="#,##0;\-#,##0;&quot;-&quot;???"/>
    <numFmt numFmtId="173" formatCode="#,##0.0;\(#,##0.0\);&quot;-&quot;???"/>
  </numFmts>
  <fonts count="5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11"/>
      <color indexed="12"/>
      <name val="Arial"/>
      <family val="2"/>
    </font>
    <font>
      <b/>
      <sz val="11"/>
      <color indexed="9"/>
      <name val="Arial"/>
      <family val="2"/>
    </font>
    <font>
      <vertAlign val="superscript"/>
      <sz val="11"/>
      <name val="Arial"/>
      <family val="2"/>
    </font>
    <font>
      <sz val="8"/>
      <color indexed="12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b/>
      <u/>
      <sz val="14"/>
      <name val="Arial"/>
      <family val="2"/>
    </font>
    <font>
      <b/>
      <sz val="16"/>
      <color indexed="62"/>
      <name val="Verdana"/>
      <family val="2"/>
    </font>
    <font>
      <sz val="10"/>
      <name val="Courier"/>
      <family val="3"/>
    </font>
    <font>
      <sz val="11"/>
      <color indexed="8"/>
      <name val="Times New Roman"/>
      <family val="1"/>
    </font>
    <font>
      <sz val="10"/>
      <name val="Geneva"/>
    </font>
    <font>
      <b/>
      <i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 style="thick">
        <color indexed="23"/>
      </right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 style="thick">
        <color indexed="23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</borders>
  <cellStyleXfs count="74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168" fontId="3" fillId="0" borderId="0" applyFill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166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2" fillId="0" borderId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47" fillId="0" borderId="0"/>
    <xf numFmtId="0" fontId="47" fillId="0" borderId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8" fillId="0" borderId="0" applyNumberFormat="0" applyFont="0" applyBorder="0" applyAlignment="0">
      <alignment horizontal="centerContinuous"/>
    </xf>
    <xf numFmtId="0" fontId="49" fillId="0" borderId="0"/>
    <xf numFmtId="0" fontId="1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1" fillId="23" borderId="7" applyNumberFormat="0" applyFont="0" applyAlignment="0" applyProtection="0"/>
    <xf numFmtId="40" fontId="51" fillId="24" borderId="0">
      <alignment horizontal="right"/>
    </xf>
    <xf numFmtId="9" fontId="2" fillId="0" borderId="0" applyFont="0" applyFill="0" applyBorder="0" applyAlignment="0" applyProtection="0"/>
    <xf numFmtId="4" fontId="12" fillId="0" borderId="42">
      <alignment horizontal="right"/>
    </xf>
    <xf numFmtId="4" fontId="12" fillId="0" borderId="42">
      <alignment horizontal="right"/>
    </xf>
    <xf numFmtId="4" fontId="12" fillId="0" borderId="42">
      <alignment horizontal="right"/>
    </xf>
    <xf numFmtId="4" fontId="12" fillId="0" borderId="42">
      <alignment horizontal="right"/>
    </xf>
    <xf numFmtId="4" fontId="12" fillId="0" borderId="42">
      <alignment horizontal="right"/>
    </xf>
    <xf numFmtId="4" fontId="12" fillId="0" borderId="42">
      <alignment horizontal="right"/>
    </xf>
    <xf numFmtId="0" fontId="52" fillId="0" borderId="0"/>
  </cellStyleXfs>
  <cellXfs count="258">
    <xf numFmtId="0" fontId="0" fillId="0" borderId="0" xfId="0"/>
    <xf numFmtId="0" fontId="0" fillId="0" borderId="0" xfId="0" applyAlignment="1">
      <alignment horizontal="center"/>
    </xf>
    <xf numFmtId="0" fontId="0" fillId="24" borderId="0" xfId="0" applyFill="1"/>
    <xf numFmtId="0" fontId="4" fillId="24" borderId="0" xfId="0" applyFont="1" applyFill="1"/>
    <xf numFmtId="0" fontId="5" fillId="25" borderId="10" xfId="0" applyFont="1" applyFill="1" applyBorder="1" applyAlignment="1">
      <alignment horizontal="center"/>
    </xf>
    <xf numFmtId="0" fontId="5" fillId="26" borderId="11" xfId="0" applyFont="1" applyFill="1" applyBorder="1" applyAlignment="1">
      <alignment horizontal="center"/>
    </xf>
    <xf numFmtId="0" fontId="5" fillId="25" borderId="12" xfId="0" applyFont="1" applyFill="1" applyBorder="1" applyAlignment="1">
      <alignment horizontal="center"/>
    </xf>
    <xf numFmtId="0" fontId="5" fillId="25" borderId="13" xfId="0" applyFont="1" applyFill="1" applyBorder="1" applyAlignment="1">
      <alignment horizontal="center"/>
    </xf>
    <xf numFmtId="0" fontId="5" fillId="26" borderId="14" xfId="0" applyFont="1" applyFill="1" applyBorder="1" applyAlignment="1">
      <alignment horizontal="center"/>
    </xf>
    <xf numFmtId="0" fontId="5" fillId="25" borderId="15" xfId="0" applyFont="1" applyFill="1" applyBorder="1" applyAlignment="1">
      <alignment horizontal="center"/>
    </xf>
    <xf numFmtId="0" fontId="5" fillId="25" borderId="16" xfId="0" applyFont="1" applyFill="1" applyBorder="1" applyAlignment="1">
      <alignment horizontal="center"/>
    </xf>
    <xf numFmtId="0" fontId="5" fillId="25" borderId="17" xfId="0" applyFont="1" applyFill="1" applyBorder="1" applyAlignment="1">
      <alignment horizontal="center"/>
    </xf>
    <xf numFmtId="168" fontId="5" fillId="24" borderId="14" xfId="0" applyNumberFormat="1" applyFont="1" applyFill="1" applyBorder="1"/>
    <xf numFmtId="168" fontId="5" fillId="24" borderId="15" xfId="0" applyNumberFormat="1" applyFont="1" applyFill="1" applyBorder="1"/>
    <xf numFmtId="168" fontId="5" fillId="24" borderId="13" xfId="0" applyNumberFormat="1" applyFont="1" applyFill="1" applyBorder="1"/>
    <xf numFmtId="0" fontId="6" fillId="24" borderId="18" xfId="0" applyFont="1" applyFill="1" applyBorder="1"/>
    <xf numFmtId="0" fontId="6" fillId="24" borderId="0" xfId="0" applyFont="1" applyFill="1"/>
    <xf numFmtId="0" fontId="7" fillId="24" borderId="0" xfId="0" applyFont="1" applyFill="1"/>
    <xf numFmtId="0" fontId="8" fillId="27" borderId="20" xfId="0" applyFont="1" applyFill="1" applyBorder="1" applyAlignment="1">
      <alignment horizontal="center"/>
    </xf>
    <xf numFmtId="0" fontId="8" fillId="27" borderId="21" xfId="0" applyFont="1" applyFill="1" applyBorder="1"/>
    <xf numFmtId="168" fontId="8" fillId="27" borderId="22" xfId="0" applyNumberFormat="1" applyFont="1" applyFill="1" applyBorder="1"/>
    <xf numFmtId="0" fontId="9" fillId="24" borderId="0" xfId="0" applyFont="1" applyFill="1"/>
    <xf numFmtId="0" fontId="10" fillId="28" borderId="23" xfId="0" applyFont="1" applyFill="1" applyBorder="1" applyAlignment="1">
      <alignment horizontal="center" vertical="top" wrapText="1"/>
    </xf>
    <xf numFmtId="0" fontId="10" fillId="28" borderId="24" xfId="0" applyFont="1" applyFill="1" applyBorder="1" applyAlignment="1">
      <alignment horizontal="center" vertical="top" wrapText="1"/>
    </xf>
    <xf numFmtId="0" fontId="10" fillId="28" borderId="25" xfId="0" applyFont="1" applyFill="1" applyBorder="1" applyAlignment="1">
      <alignment horizontal="justify" vertical="top" wrapText="1"/>
    </xf>
    <xf numFmtId="164" fontId="10" fillId="28" borderId="26" xfId="0" quotePrefix="1" applyNumberFormat="1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justify" vertical="top" wrapText="1"/>
    </xf>
    <xf numFmtId="0" fontId="11" fillId="0" borderId="24" xfId="0" applyFont="1" applyBorder="1" applyAlignment="1">
      <alignment horizontal="right" vertical="top" wrapText="1"/>
    </xf>
    <xf numFmtId="167" fontId="11" fillId="0" borderId="24" xfId="0" applyNumberFormat="1" applyFont="1" applyBorder="1" applyAlignment="1">
      <alignment horizontal="right" vertical="top" wrapText="1"/>
    </xf>
    <xf numFmtId="0" fontId="11" fillId="0" borderId="25" xfId="0" applyFont="1" applyBorder="1" applyAlignment="1">
      <alignment horizontal="justify" vertical="top" wrapText="1"/>
    </xf>
    <xf numFmtId="167" fontId="11" fillId="0" borderId="26" xfId="0" applyNumberFormat="1" applyFont="1" applyBorder="1" applyAlignment="1">
      <alignment horizontal="right" vertical="top" wrapText="1"/>
    </xf>
    <xf numFmtId="167" fontId="10" fillId="28" borderId="26" xfId="0" applyNumberFormat="1" applyFont="1" applyFill="1" applyBorder="1" applyAlignment="1">
      <alignment horizontal="right" vertical="top" wrapText="1"/>
    </xf>
    <xf numFmtId="168" fontId="0" fillId="24" borderId="0" xfId="0" applyNumberFormat="1" applyFill="1"/>
    <xf numFmtId="1" fontId="0" fillId="24" borderId="0" xfId="0" applyNumberFormat="1" applyFill="1"/>
    <xf numFmtId="168" fontId="5" fillId="24" borderId="0" xfId="0" applyNumberFormat="1" applyFont="1" applyFill="1"/>
    <xf numFmtId="0" fontId="5" fillId="24" borderId="0" xfId="0" applyFont="1" applyFill="1" applyAlignment="1">
      <alignment horizontal="center"/>
    </xf>
    <xf numFmtId="168" fontId="8" fillId="24" borderId="0" xfId="0" applyNumberFormat="1" applyFont="1" applyFill="1"/>
    <xf numFmtId="0" fontId="8" fillId="24" borderId="0" xfId="0" applyFont="1" applyFill="1" applyAlignment="1">
      <alignment horizontal="center"/>
    </xf>
    <xf numFmtId="0" fontId="8" fillId="24" borderId="0" xfId="0" applyFont="1" applyFill="1"/>
    <xf numFmtId="0" fontId="4" fillId="0" borderId="0" xfId="0" applyFont="1"/>
    <xf numFmtId="0" fontId="12" fillId="25" borderId="10" xfId="0" applyFont="1" applyFill="1" applyBorder="1" applyAlignment="1">
      <alignment horizontal="center"/>
    </xf>
    <xf numFmtId="0" fontId="2" fillId="25" borderId="10" xfId="0" applyFont="1" applyFill="1" applyBorder="1"/>
    <xf numFmtId="0" fontId="12" fillId="26" borderId="11" xfId="0" applyFont="1" applyFill="1" applyBorder="1" applyAlignment="1">
      <alignment horizontal="center"/>
    </xf>
    <xf numFmtId="0" fontId="12" fillId="25" borderId="12" xfId="0" applyFont="1" applyFill="1" applyBorder="1" applyAlignment="1">
      <alignment horizontal="center"/>
    </xf>
    <xf numFmtId="0" fontId="12" fillId="25" borderId="13" xfId="0" applyFont="1" applyFill="1" applyBorder="1" applyAlignment="1">
      <alignment horizontal="center"/>
    </xf>
    <xf numFmtId="0" fontId="2" fillId="25" borderId="13" xfId="0" applyFont="1" applyFill="1" applyBorder="1"/>
    <xf numFmtId="0" fontId="12" fillId="25" borderId="16" xfId="0" applyFont="1" applyFill="1" applyBorder="1" applyAlignment="1">
      <alignment horizontal="center"/>
    </xf>
    <xf numFmtId="0" fontId="2" fillId="25" borderId="16" xfId="0" applyFont="1" applyFill="1" applyBorder="1"/>
    <xf numFmtId="0" fontId="2" fillId="0" borderId="18" xfId="0" applyFont="1" applyBorder="1"/>
    <xf numFmtId="0" fontId="2" fillId="26" borderId="19" xfId="0" applyFont="1" applyFill="1" applyBorder="1"/>
    <xf numFmtId="0" fontId="2" fillId="0" borderId="15" xfId="0" applyFont="1" applyBorder="1"/>
    <xf numFmtId="0" fontId="5" fillId="29" borderId="21" xfId="0" applyFont="1" applyFill="1" applyBorder="1"/>
    <xf numFmtId="168" fontId="5" fillId="26" borderId="22" xfId="0" applyNumberFormat="1" applyFont="1" applyFill="1" applyBorder="1"/>
    <xf numFmtId="168" fontId="5" fillId="29" borderId="29" xfId="0" applyNumberFormat="1" applyFont="1" applyFill="1" applyBorder="1"/>
    <xf numFmtId="0" fontId="6" fillId="0" borderId="18" xfId="0" applyFont="1" applyBorder="1"/>
    <xf numFmtId="167" fontId="0" fillId="0" borderId="0" xfId="0" applyNumberFormat="1"/>
    <xf numFmtId="168" fontId="5" fillId="29" borderId="30" xfId="0" applyNumberFormat="1" applyFont="1" applyFill="1" applyBorder="1"/>
    <xf numFmtId="0" fontId="5" fillId="0" borderId="18" xfId="0" applyFont="1" applyBorder="1"/>
    <xf numFmtId="0" fontId="7" fillId="0" borderId="18" xfId="0" applyFont="1" applyBorder="1"/>
    <xf numFmtId="168" fontId="0" fillId="0" borderId="0" xfId="0" applyNumberFormat="1"/>
    <xf numFmtId="168" fontId="5" fillId="26" borderId="19" xfId="0" applyNumberFormat="1" applyFont="1" applyFill="1" applyBorder="1"/>
    <xf numFmtId="168" fontId="5" fillId="0" borderId="12" xfId="0" applyNumberFormat="1" applyFont="1" applyBorder="1"/>
    <xf numFmtId="0" fontId="5" fillId="29" borderId="20" xfId="0" applyFont="1" applyFill="1" applyBorder="1" applyAlignment="1">
      <alignment horizontal="center"/>
    </xf>
    <xf numFmtId="0" fontId="12" fillId="29" borderId="20" xfId="0" applyFont="1" applyFill="1" applyBorder="1" applyAlignment="1">
      <alignment horizontal="center"/>
    </xf>
    <xf numFmtId="0" fontId="12" fillId="29" borderId="21" xfId="0" applyFont="1" applyFill="1" applyBorder="1"/>
    <xf numFmtId="168" fontId="12" fillId="26" borderId="22" xfId="0" applyNumberFormat="1" applyFont="1" applyFill="1" applyBorder="1"/>
    <xf numFmtId="168" fontId="12" fillId="29" borderId="21" xfId="0" applyNumberFormat="1" applyFont="1" applyFill="1" applyBorder="1"/>
    <xf numFmtId="168" fontId="12" fillId="29" borderId="31" xfId="0" applyNumberFormat="1" applyFont="1" applyFill="1" applyBorder="1"/>
    <xf numFmtId="0" fontId="0" fillId="0" borderId="14" xfId="0" applyBorder="1"/>
    <xf numFmtId="0" fontId="2" fillId="0" borderId="0" xfId="0" applyFont="1"/>
    <xf numFmtId="0" fontId="0" fillId="0" borderId="34" xfId="0" applyBorder="1"/>
    <xf numFmtId="0" fontId="12" fillId="0" borderId="35" xfId="0" applyFont="1" applyBorder="1"/>
    <xf numFmtId="0" fontId="12" fillId="0" borderId="21" xfId="0" applyFont="1" applyBorder="1"/>
    <xf numFmtId="168" fontId="12" fillId="0" borderId="22" xfId="0" applyNumberFormat="1" applyFont="1" applyBorder="1"/>
    <xf numFmtId="39" fontId="0" fillId="0" borderId="0" xfId="0" applyNumberFormat="1"/>
    <xf numFmtId="10" fontId="0" fillId="0" borderId="0" xfId="0" applyNumberFormat="1"/>
    <xf numFmtId="0" fontId="5" fillId="0" borderId="0" xfId="0" applyFont="1"/>
    <xf numFmtId="2" fontId="5" fillId="0" borderId="0" xfId="0" applyNumberFormat="1" applyFont="1"/>
    <xf numFmtId="168" fontId="12" fillId="29" borderId="29" xfId="0" applyNumberFormat="1" applyFont="1" applyFill="1" applyBorder="1"/>
    <xf numFmtId="168" fontId="12" fillId="29" borderId="36" xfId="0" applyNumberFormat="1" applyFont="1" applyFill="1" applyBorder="1"/>
    <xf numFmtId="0" fontId="6" fillId="0" borderId="0" xfId="0" applyFont="1"/>
    <xf numFmtId="168" fontId="5" fillId="0" borderId="37" xfId="0" applyNumberFormat="1" applyFont="1" applyBorder="1"/>
    <xf numFmtId="168" fontId="5" fillId="26" borderId="14" xfId="0" applyNumberFormat="1" applyFont="1" applyFill="1" applyBorder="1"/>
    <xf numFmtId="168" fontId="5" fillId="0" borderId="15" xfId="0" applyNumberFormat="1" applyFont="1" applyBorder="1"/>
    <xf numFmtId="0" fontId="15" fillId="0" borderId="0" xfId="0" applyFont="1"/>
    <xf numFmtId="0" fontId="15" fillId="0" borderId="18" xfId="0" applyFont="1" applyBorder="1"/>
    <xf numFmtId="0" fontId="7" fillId="24" borderId="18" xfId="0" applyFont="1" applyFill="1" applyBorder="1"/>
    <xf numFmtId="0" fontId="0" fillId="0" borderId="11" xfId="0" applyBorder="1"/>
    <xf numFmtId="0" fontId="0" fillId="0" borderId="38" xfId="0" applyBorder="1"/>
    <xf numFmtId="0" fontId="17" fillId="25" borderId="39" xfId="0" applyFont="1" applyFill="1" applyBorder="1" applyAlignment="1">
      <alignment horizontal="justify" vertical="top" wrapText="1"/>
    </xf>
    <xf numFmtId="168" fontId="12" fillId="0" borderId="41" xfId="0" applyNumberFormat="1" applyFont="1" applyBorder="1"/>
    <xf numFmtId="49" fontId="4" fillId="0" borderId="0" xfId="0" applyNumberFormat="1" applyFont="1"/>
    <xf numFmtId="0" fontId="35" fillId="0" borderId="0" xfId="0" applyFont="1"/>
    <xf numFmtId="0" fontId="3" fillId="0" borderId="0" xfId="0" applyFont="1"/>
    <xf numFmtId="0" fontId="2" fillId="0" borderId="37" xfId="0" applyFont="1" applyBorder="1"/>
    <xf numFmtId="0" fontId="12" fillId="0" borderId="0" xfId="0" applyFont="1" applyAlignment="1">
      <alignment horizontal="center"/>
    </xf>
    <xf numFmtId="0" fontId="12" fillId="25" borderId="11" xfId="0" applyFont="1" applyFill="1" applyBorder="1" applyAlignment="1">
      <alignment horizontal="center"/>
    </xf>
    <xf numFmtId="0" fontId="12" fillId="27" borderId="11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" fillId="0" borderId="42" xfId="0" applyFont="1" applyBorder="1"/>
    <xf numFmtId="0" fontId="36" fillId="0" borderId="0" xfId="0" applyFont="1" applyAlignment="1">
      <alignment horizontal="justify"/>
    </xf>
    <xf numFmtId="167" fontId="17" fillId="0" borderId="22" xfId="0" applyNumberFormat="1" applyFont="1" applyBorder="1" applyAlignment="1">
      <alignment horizontal="right"/>
    </xf>
    <xf numFmtId="164" fontId="10" fillId="28" borderId="26" xfId="0" applyNumberFormat="1" applyFont="1" applyFill="1" applyBorder="1" applyAlignment="1">
      <alignment horizontal="center" vertical="top" wrapText="1"/>
    </xf>
    <xf numFmtId="0" fontId="16" fillId="0" borderId="27" xfId="0" applyFont="1" applyBorder="1" applyAlignment="1">
      <alignment horizontal="justify" vertical="top" wrapText="1"/>
    </xf>
    <xf numFmtId="0" fontId="38" fillId="28" borderId="39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167" fontId="11" fillId="0" borderId="24" xfId="0" applyNumberFormat="1" applyFont="1" applyBorder="1" applyAlignment="1">
      <alignment horizontal="right" wrapText="1"/>
    </xf>
    <xf numFmtId="167" fontId="11" fillId="0" borderId="27" xfId="0" applyNumberFormat="1" applyFont="1" applyBorder="1" applyAlignment="1">
      <alignment wrapText="1"/>
    </xf>
    <xf numFmtId="167" fontId="11" fillId="0" borderId="25" xfId="0" applyNumberFormat="1" applyFont="1" applyBorder="1" applyAlignment="1">
      <alignment wrapText="1"/>
    </xf>
    <xf numFmtId="167" fontId="8" fillId="25" borderId="43" xfId="0" applyNumberFormat="1" applyFont="1" applyFill="1" applyBorder="1" applyAlignment="1">
      <alignment horizontal="right" wrapText="1"/>
    </xf>
    <xf numFmtId="167" fontId="10" fillId="28" borderId="43" xfId="0" applyNumberFormat="1" applyFont="1" applyFill="1" applyBorder="1" applyAlignment="1">
      <alignment horizontal="right" vertical="top" wrapText="1"/>
    </xf>
    <xf numFmtId="168" fontId="40" fillId="0" borderId="0" xfId="40" applyNumberFormat="1" applyFont="1"/>
    <xf numFmtId="0" fontId="2" fillId="25" borderId="19" xfId="0" applyFont="1" applyFill="1" applyBorder="1"/>
    <xf numFmtId="168" fontId="5" fillId="25" borderId="22" xfId="0" applyNumberFormat="1" applyFont="1" applyFill="1" applyBorder="1"/>
    <xf numFmtId="168" fontId="5" fillId="25" borderId="19" xfId="0" applyNumberFormat="1" applyFont="1" applyFill="1" applyBorder="1"/>
    <xf numFmtId="168" fontId="5" fillId="25" borderId="14" xfId="0" applyNumberFormat="1" applyFont="1" applyFill="1" applyBorder="1"/>
    <xf numFmtId="168" fontId="12" fillId="25" borderId="22" xfId="0" applyNumberFormat="1" applyFont="1" applyFill="1" applyBorder="1"/>
    <xf numFmtId="0" fontId="5" fillId="25" borderId="44" xfId="0" applyFont="1" applyFill="1" applyBorder="1"/>
    <xf numFmtId="0" fontId="0" fillId="25" borderId="35" xfId="0" applyFill="1" applyBorder="1"/>
    <xf numFmtId="0" fontId="5" fillId="25" borderId="35" xfId="0" applyFont="1" applyFill="1" applyBorder="1"/>
    <xf numFmtId="2" fontId="5" fillId="25" borderId="36" xfId="0" applyNumberFormat="1" applyFont="1" applyFill="1" applyBorder="1"/>
    <xf numFmtId="2" fontId="5" fillId="25" borderId="22" xfId="0" applyNumberFormat="1" applyFont="1" applyFill="1" applyBorder="1"/>
    <xf numFmtId="168" fontId="0" fillId="24" borderId="37" xfId="0" applyNumberFormat="1" applyFill="1" applyBorder="1"/>
    <xf numFmtId="0" fontId="12" fillId="0" borderId="10" xfId="0" applyFont="1" applyBorder="1" applyAlignment="1">
      <alignment horizontal="center"/>
    </xf>
    <xf numFmtId="170" fontId="12" fillId="0" borderId="13" xfId="30" applyNumberFormat="1" applyFont="1" applyFill="1" applyBorder="1" applyAlignment="1">
      <alignment horizontal="center"/>
    </xf>
    <xf numFmtId="170" fontId="12" fillId="0" borderId="16" xfId="30" applyNumberFormat="1" applyFont="1" applyFill="1" applyBorder="1" applyAlignment="1">
      <alignment horizontal="center"/>
    </xf>
    <xf numFmtId="167" fontId="0" fillId="0" borderId="37" xfId="0" applyNumberFormat="1" applyBorder="1"/>
    <xf numFmtId="1" fontId="0" fillId="0" borderId="0" xfId="0" applyNumberFormat="1"/>
    <xf numFmtId="0" fontId="8" fillId="0" borderId="0" xfId="0" applyFont="1"/>
    <xf numFmtId="168" fontId="41" fillId="0" borderId="0" xfId="0" applyNumberFormat="1" applyFont="1"/>
    <xf numFmtId="168" fontId="7" fillId="0" borderId="37" xfId="0" applyNumberFormat="1" applyFont="1" applyBorder="1"/>
    <xf numFmtId="0" fontId="8" fillId="25" borderId="39" xfId="0" applyFont="1" applyFill="1" applyBorder="1" applyAlignment="1">
      <alignment horizontal="justify" vertical="top" wrapText="1"/>
    </xf>
    <xf numFmtId="2" fontId="5" fillId="25" borderId="35" xfId="0" applyNumberFormat="1" applyFont="1" applyFill="1" applyBorder="1"/>
    <xf numFmtId="0" fontId="1" fillId="24" borderId="0" xfId="0" applyFont="1" applyFill="1"/>
    <xf numFmtId="0" fontId="8" fillId="0" borderId="0" xfId="47" applyFont="1"/>
    <xf numFmtId="0" fontId="8" fillId="0" borderId="0" xfId="47" applyFont="1" applyAlignment="1">
      <alignment horizontal="center"/>
    </xf>
    <xf numFmtId="0" fontId="1" fillId="0" borderId="0" xfId="47"/>
    <xf numFmtId="0" fontId="1" fillId="0" borderId="0" xfId="47" applyAlignment="1">
      <alignment horizontal="center"/>
    </xf>
    <xf numFmtId="0" fontId="5" fillId="0" borderId="0" xfId="47" applyFont="1" applyAlignment="1">
      <alignment horizontal="center"/>
    </xf>
    <xf numFmtId="0" fontId="5" fillId="0" borderId="0" xfId="47" quotePrefix="1" applyFont="1" applyAlignment="1">
      <alignment horizontal="left"/>
    </xf>
    <xf numFmtId="0" fontId="5" fillId="0" borderId="0" xfId="47" quotePrefix="1" applyFont="1" applyAlignment="1">
      <alignment horizontal="center"/>
    </xf>
    <xf numFmtId="0" fontId="5" fillId="0" borderId="0" xfId="47" applyFont="1" applyAlignment="1">
      <alignment horizontal="left"/>
    </xf>
    <xf numFmtId="0" fontId="7" fillId="0" borderId="0" xfId="47" applyFont="1"/>
    <xf numFmtId="0" fontId="1" fillId="0" borderId="0" xfId="47" applyAlignment="1">
      <alignment horizontal="left"/>
    </xf>
    <xf numFmtId="167" fontId="1" fillId="0" borderId="0" xfId="47" applyNumberFormat="1"/>
    <xf numFmtId="0" fontId="8" fillId="0" borderId="0" xfId="47" quotePrefix="1" applyFont="1" applyAlignment="1">
      <alignment horizontal="left"/>
    </xf>
    <xf numFmtId="167" fontId="8" fillId="0" borderId="37" xfId="47" applyNumberFormat="1" applyFont="1" applyBorder="1"/>
    <xf numFmtId="0" fontId="1" fillId="0" borderId="0" xfId="47" applyAlignment="1">
      <alignment vertical="center"/>
    </xf>
    <xf numFmtId="167" fontId="1" fillId="0" borderId="0" xfId="47" applyNumberFormat="1" applyAlignment="1">
      <alignment vertical="center"/>
    </xf>
    <xf numFmtId="167" fontId="5" fillId="0" borderId="37" xfId="47" applyNumberFormat="1" applyFont="1" applyBorder="1"/>
    <xf numFmtId="167" fontId="8" fillId="0" borderId="48" xfId="47" applyNumberFormat="1" applyFont="1" applyBorder="1"/>
    <xf numFmtId="0" fontId="1" fillId="30" borderId="49" xfId="47" applyFill="1" applyBorder="1" applyAlignment="1">
      <alignment vertical="center" wrapText="1"/>
    </xf>
    <xf numFmtId="3" fontId="8" fillId="30" borderId="50" xfId="47" applyNumberFormat="1" applyFont="1" applyFill="1" applyBorder="1" applyAlignment="1">
      <alignment horizontal="right" vertical="center" wrapText="1"/>
    </xf>
    <xf numFmtId="167" fontId="5" fillId="31" borderId="51" xfId="47" applyNumberFormat="1" applyFont="1" applyFill="1" applyBorder="1" applyAlignment="1">
      <alignment horizontal="right" vertical="center" wrapText="1"/>
    </xf>
    <xf numFmtId="0" fontId="1" fillId="30" borderId="52" xfId="47" applyFill="1" applyBorder="1" applyAlignment="1">
      <alignment vertical="center" wrapText="1"/>
    </xf>
    <xf numFmtId="3" fontId="8" fillId="30" borderId="51" xfId="47" applyNumberFormat="1" applyFont="1" applyFill="1" applyBorder="1" applyAlignment="1">
      <alignment horizontal="right" vertical="center" wrapText="1"/>
    </xf>
    <xf numFmtId="3" fontId="1" fillId="30" borderId="51" xfId="47" applyNumberFormat="1" applyFill="1" applyBorder="1" applyAlignment="1">
      <alignment horizontal="right" vertical="center" wrapText="1"/>
    </xf>
    <xf numFmtId="167" fontId="1" fillId="30" borderId="51" xfId="47" applyNumberFormat="1" applyFill="1" applyBorder="1" applyAlignment="1">
      <alignment horizontal="right" vertical="center" wrapText="1"/>
    </xf>
    <xf numFmtId="0" fontId="1" fillId="30" borderId="51" xfId="47" applyFill="1" applyBorder="1" applyAlignment="1">
      <alignment horizontal="right" vertical="center" wrapText="1"/>
    </xf>
    <xf numFmtId="0" fontId="5" fillId="31" borderId="52" xfId="47" applyFont="1" applyFill="1" applyBorder="1" applyAlignment="1">
      <alignment vertical="center" wrapText="1"/>
    </xf>
    <xf numFmtId="0" fontId="5" fillId="31" borderId="51" xfId="47" applyFont="1" applyFill="1" applyBorder="1" applyAlignment="1">
      <alignment horizontal="right" vertical="center" wrapText="1"/>
    </xf>
    <xf numFmtId="167" fontId="5" fillId="0" borderId="0" xfId="47" applyNumberFormat="1" applyFont="1"/>
    <xf numFmtId="167" fontId="1" fillId="0" borderId="37" xfId="47" applyNumberFormat="1" applyBorder="1"/>
    <xf numFmtId="0" fontId="5" fillId="0" borderId="0" xfId="47" applyFont="1"/>
    <xf numFmtId="168" fontId="53" fillId="27" borderId="22" xfId="0" applyNumberFormat="1" applyFont="1" applyFill="1" applyBorder="1"/>
    <xf numFmtId="169" fontId="2" fillId="24" borderId="13" xfId="30" applyNumberFormat="1" applyFont="1" applyFill="1" applyBorder="1"/>
    <xf numFmtId="169" fontId="12" fillId="24" borderId="13" xfId="30" applyNumberFormat="1" applyFont="1" applyFill="1" applyBorder="1"/>
    <xf numFmtId="171" fontId="1" fillId="0" borderId="0" xfId="47" applyNumberFormat="1"/>
    <xf numFmtId="172" fontId="1" fillId="0" borderId="0" xfId="47" applyNumberFormat="1"/>
    <xf numFmtId="173" fontId="1" fillId="0" borderId="0" xfId="47" applyNumberFormat="1"/>
    <xf numFmtId="0" fontId="53" fillId="24" borderId="0" xfId="0" applyFont="1" applyFill="1"/>
    <xf numFmtId="168" fontId="53" fillId="24" borderId="19" xfId="0" applyNumberFormat="1" applyFont="1" applyFill="1" applyBorder="1"/>
    <xf numFmtId="168" fontId="11" fillId="32" borderId="14" xfId="0" applyNumberFormat="1" applyFont="1" applyFill="1" applyBorder="1" applyProtection="1">
      <protection locked="0"/>
    </xf>
    <xf numFmtId="0" fontId="8" fillId="27" borderId="35" xfId="0" applyFont="1" applyFill="1" applyBorder="1"/>
    <xf numFmtId="0" fontId="10" fillId="28" borderId="23" xfId="0" applyFont="1" applyFill="1" applyBorder="1" applyAlignment="1">
      <alignment horizontal="justify" vertical="top" wrapText="1"/>
    </xf>
    <xf numFmtId="0" fontId="10" fillId="28" borderId="24" xfId="0" applyFont="1" applyFill="1" applyBorder="1" applyAlignment="1">
      <alignment horizontal="justify" vertical="top" wrapText="1"/>
    </xf>
    <xf numFmtId="0" fontId="10" fillId="28" borderId="26" xfId="0" applyFont="1" applyFill="1" applyBorder="1" applyAlignment="1">
      <alignment horizontal="justify" vertical="top" wrapText="1"/>
    </xf>
    <xf numFmtId="0" fontId="11" fillId="0" borderId="24" xfId="0" applyFont="1" applyBorder="1" applyAlignment="1">
      <alignment horizontal="justify" vertical="top" wrapText="1"/>
    </xf>
    <xf numFmtId="0" fontId="16" fillId="33" borderId="0" xfId="0" applyFont="1" applyFill="1"/>
    <xf numFmtId="168" fontId="11" fillId="33" borderId="14" xfId="0" applyNumberFormat="1" applyFont="1" applyFill="1" applyBorder="1"/>
    <xf numFmtId="168" fontId="11" fillId="33" borderId="14" xfId="0" applyNumberFormat="1" applyFont="1" applyFill="1" applyBorder="1" applyProtection="1">
      <protection locked="0"/>
    </xf>
    <xf numFmtId="168" fontId="8" fillId="29" borderId="22" xfId="0" applyNumberFormat="1" applyFont="1" applyFill="1" applyBorder="1"/>
    <xf numFmtId="168" fontId="8" fillId="32" borderId="22" xfId="0" applyNumberFormat="1" applyFont="1" applyFill="1" applyBorder="1"/>
    <xf numFmtId="0" fontId="5" fillId="25" borderId="11" xfId="0" applyFont="1" applyFill="1" applyBorder="1" applyAlignment="1">
      <alignment horizontal="center"/>
    </xf>
    <xf numFmtId="0" fontId="5" fillId="25" borderId="14" xfId="0" applyFont="1" applyFill="1" applyBorder="1" applyAlignment="1">
      <alignment horizontal="center"/>
    </xf>
    <xf numFmtId="0" fontId="5" fillId="25" borderId="28" xfId="0" applyFont="1" applyFill="1" applyBorder="1" applyAlignment="1">
      <alignment horizontal="center"/>
    </xf>
    <xf numFmtId="168" fontId="5" fillId="32" borderId="14" xfId="0" applyNumberFormat="1" applyFont="1" applyFill="1" applyBorder="1"/>
    <xf numFmtId="168" fontId="53" fillId="32" borderId="19" xfId="0" applyNumberFormat="1" applyFont="1" applyFill="1" applyBorder="1"/>
    <xf numFmtId="0" fontId="1" fillId="25" borderId="10" xfId="0" applyFont="1" applyFill="1" applyBorder="1"/>
    <xf numFmtId="0" fontId="1" fillId="25" borderId="0" xfId="0" applyFont="1" applyFill="1"/>
    <xf numFmtId="0" fontId="1" fillId="25" borderId="13" xfId="0" applyFont="1" applyFill="1" applyBorder="1"/>
    <xf numFmtId="0" fontId="1" fillId="25" borderId="16" xfId="0" applyFont="1" applyFill="1" applyBorder="1"/>
    <xf numFmtId="0" fontId="1" fillId="24" borderId="13" xfId="0" applyFont="1" applyFill="1" applyBorder="1" applyAlignment="1">
      <alignment horizontal="center"/>
    </xf>
    <xf numFmtId="0" fontId="1" fillId="24" borderId="18" xfId="0" applyFont="1" applyFill="1" applyBorder="1"/>
    <xf numFmtId="0" fontId="1" fillId="24" borderId="19" xfId="0" applyFont="1" applyFill="1" applyBorder="1"/>
    <xf numFmtId="0" fontId="1" fillId="32" borderId="14" xfId="0" applyFont="1" applyFill="1" applyBorder="1"/>
    <xf numFmtId="168" fontId="1" fillId="24" borderId="14" xfId="0" applyNumberFormat="1" applyFont="1" applyFill="1" applyBorder="1"/>
    <xf numFmtId="168" fontId="1" fillId="32" borderId="14" xfId="0" applyNumberFormat="1" applyFont="1" applyFill="1" applyBorder="1"/>
    <xf numFmtId="0" fontId="12" fillId="25" borderId="14" xfId="0" applyFont="1" applyFill="1" applyBorder="1" applyAlignment="1">
      <alignment horizontal="center"/>
    </xf>
    <xf numFmtId="0" fontId="12" fillId="25" borderId="15" xfId="0" applyFont="1" applyFill="1" applyBorder="1" applyAlignment="1">
      <alignment horizontal="center"/>
    </xf>
    <xf numFmtId="0" fontId="12" fillId="25" borderId="14" xfId="0" quotePrefix="1" applyFont="1" applyFill="1" applyBorder="1" applyAlignment="1">
      <alignment horizontal="center"/>
    </xf>
    <xf numFmtId="0" fontId="12" fillId="25" borderId="13" xfId="0" quotePrefix="1" applyFont="1" applyFill="1" applyBorder="1" applyAlignment="1">
      <alignment horizontal="center"/>
    </xf>
    <xf numFmtId="0" fontId="12" fillId="25" borderId="28" xfId="0" applyFont="1" applyFill="1" applyBorder="1" applyAlignment="1">
      <alignment horizontal="center"/>
    </xf>
    <xf numFmtId="0" fontId="12" fillId="25" borderId="1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9" borderId="20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/>
    <xf numFmtId="168" fontId="1" fillId="25" borderId="14" xfId="0" applyNumberFormat="1" applyFont="1" applyFill="1" applyBorder="1"/>
    <xf numFmtId="168" fontId="1" fillId="0" borderId="15" xfId="0" applyNumberFormat="1" applyFont="1" applyBorder="1"/>
    <xf numFmtId="168" fontId="1" fillId="0" borderId="13" xfId="0" applyNumberFormat="1" applyFont="1" applyBorder="1"/>
    <xf numFmtId="168" fontId="1" fillId="25" borderId="14" xfId="0" applyNumberFormat="1" applyFont="1" applyFill="1" applyBorder="1" applyAlignment="1">
      <alignment horizontal="right"/>
    </xf>
    <xf numFmtId="168" fontId="1" fillId="0" borderId="15" xfId="0" applyNumberFormat="1" applyFont="1" applyBorder="1" applyAlignment="1">
      <alignment horizontal="right"/>
    </xf>
    <xf numFmtId="168" fontId="1" fillId="0" borderId="13" xfId="0" applyNumberFormat="1" applyFont="1" applyBorder="1" applyAlignment="1">
      <alignment horizontal="right"/>
    </xf>
    <xf numFmtId="168" fontId="2" fillId="26" borderId="11" xfId="0" applyNumberFormat="1" applyFont="1" applyFill="1" applyBorder="1"/>
    <xf numFmtId="168" fontId="2" fillId="0" borderId="11" xfId="0" applyNumberFormat="1" applyFont="1" applyBorder="1"/>
    <xf numFmtId="168" fontId="2" fillId="0" borderId="40" xfId="0" applyNumberFormat="1" applyFont="1" applyBorder="1"/>
    <xf numFmtId="168" fontId="2" fillId="24" borderId="13" xfId="0" applyNumberFormat="1" applyFont="1" applyFill="1" applyBorder="1"/>
    <xf numFmtId="168" fontId="2" fillId="0" borderId="32" xfId="0" applyNumberFormat="1" applyFont="1" applyBorder="1"/>
    <xf numFmtId="0" fontId="2" fillId="0" borderId="14" xfId="0" applyFont="1" applyBorder="1" applyAlignment="1">
      <alignment horizontal="center"/>
    </xf>
    <xf numFmtId="168" fontId="2" fillId="26" borderId="14" xfId="0" applyNumberFormat="1" applyFont="1" applyFill="1" applyBorder="1"/>
    <xf numFmtId="168" fontId="2" fillId="0" borderId="14" xfId="0" applyNumberFormat="1" applyFont="1" applyBorder="1"/>
    <xf numFmtId="169" fontId="2" fillId="24" borderId="0" xfId="30" applyNumberFormat="1" applyFont="1" applyFill="1" applyBorder="1"/>
    <xf numFmtId="168" fontId="2" fillId="26" borderId="0" xfId="0" applyNumberFormat="1" applyFont="1" applyFill="1"/>
    <xf numFmtId="168" fontId="2" fillId="26" borderId="19" xfId="0" applyNumberFormat="1" applyFont="1" applyFill="1" applyBorder="1"/>
    <xf numFmtId="168" fontId="2" fillId="0" borderId="33" xfId="0" applyNumberFormat="1" applyFont="1" applyBorder="1"/>
    <xf numFmtId="168" fontId="2" fillId="0" borderId="19" xfId="0" applyNumberFormat="1" applyFont="1" applyBorder="1"/>
    <xf numFmtId="168" fontId="2" fillId="26" borderId="28" xfId="0" applyNumberFormat="1" applyFont="1" applyFill="1" applyBorder="1"/>
    <xf numFmtId="168" fontId="2" fillId="0" borderId="28" xfId="0" applyNumberFormat="1" applyFont="1" applyBorder="1"/>
    <xf numFmtId="0" fontId="1" fillId="24" borderId="15" xfId="0" applyFont="1" applyFill="1" applyBorder="1"/>
    <xf numFmtId="168" fontId="1" fillId="24" borderId="0" xfId="0" applyNumberFormat="1" applyFont="1" applyFill="1"/>
    <xf numFmtId="168" fontId="1" fillId="24" borderId="15" xfId="0" applyNumberFormat="1" applyFont="1" applyFill="1" applyBorder="1"/>
    <xf numFmtId="168" fontId="1" fillId="24" borderId="13" xfId="0" applyNumberFormat="1" applyFont="1" applyFill="1" applyBorder="1"/>
    <xf numFmtId="0" fontId="12" fillId="26" borderId="14" xfId="0" applyFont="1" applyFill="1" applyBorder="1" applyAlignment="1">
      <alignment horizontal="center"/>
    </xf>
    <xf numFmtId="0" fontId="12" fillId="26" borderId="14" xfId="0" quotePrefix="1" applyFont="1" applyFill="1" applyBorder="1" applyAlignment="1">
      <alignment horizontal="center"/>
    </xf>
    <xf numFmtId="0" fontId="12" fillId="26" borderId="28" xfId="0" applyFont="1" applyFill="1" applyBorder="1" applyAlignment="1">
      <alignment horizontal="center"/>
    </xf>
    <xf numFmtId="168" fontId="1" fillId="26" borderId="14" xfId="0" applyNumberFormat="1" applyFont="1" applyFill="1" applyBorder="1"/>
    <xf numFmtId="168" fontId="1" fillId="26" borderId="14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27" borderId="14" xfId="0" applyFont="1" applyFill="1" applyBorder="1" applyAlignment="1">
      <alignment horizontal="center"/>
    </xf>
    <xf numFmtId="0" fontId="12" fillId="26" borderId="34" xfId="0" applyFont="1" applyFill="1" applyBorder="1" applyAlignment="1">
      <alignment horizontal="center"/>
    </xf>
    <xf numFmtId="0" fontId="12" fillId="27" borderId="28" xfId="0" applyFont="1" applyFill="1" applyBorder="1" applyAlignment="1">
      <alignment horizontal="center"/>
    </xf>
    <xf numFmtId="0" fontId="2" fillId="0" borderId="13" xfId="0" applyFont="1" applyBorder="1"/>
    <xf numFmtId="167" fontId="2" fillId="0" borderId="14" xfId="0" applyNumberFormat="1" applyFont="1" applyBorder="1"/>
    <xf numFmtId="167" fontId="2" fillId="0" borderId="0" xfId="0" applyNumberFormat="1" applyFont="1"/>
    <xf numFmtId="167" fontId="2" fillId="0" borderId="14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justify"/>
    </xf>
    <xf numFmtId="0" fontId="2" fillId="0" borderId="16" xfId="0" applyFont="1" applyBorder="1"/>
    <xf numFmtId="167" fontId="2" fillId="0" borderId="34" xfId="0" applyNumberFormat="1" applyFont="1" applyBorder="1"/>
    <xf numFmtId="0" fontId="10" fillId="28" borderId="45" xfId="0" applyFont="1" applyFill="1" applyBorder="1" applyAlignment="1">
      <alignment horizontal="justify" vertical="top" wrapText="1"/>
    </xf>
    <xf numFmtId="0" fontId="10" fillId="28" borderId="27" xfId="0" applyFont="1" applyFill="1" applyBorder="1" applyAlignment="1">
      <alignment horizontal="justify" vertical="top" wrapText="1"/>
    </xf>
    <xf numFmtId="0" fontId="10" fillId="28" borderId="25" xfId="0" applyFont="1" applyFill="1" applyBorder="1" applyAlignment="1">
      <alignment horizontal="justify" vertical="top" wrapText="1"/>
    </xf>
    <xf numFmtId="0" fontId="14" fillId="0" borderId="46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0" fillId="0" borderId="0" xfId="0" applyAlignment="1">
      <alignment horizontal="center"/>
    </xf>
  </cellXfs>
  <cellStyles count="74">
    <cellStyle name="%" xfId="1" xr:uid="{00000000-0005-0000-0000-000000000000}"/>
    <cellStyle name="%_Challenge 2014 v0 2 - 22-10-13 vIssued (2) - Pendle v.1" xfId="48" xr:uid="{00000000-0005-0000-0000-000001000000}"/>
    <cellStyle name="%_MOB_34202_P05_FY11 - Base Case Unprotected" xfId="49" xr:uid="{00000000-0005-0000-0000-000002000000}"/>
    <cellStyle name="%_MOB_34202_P05_FY11 - Revised Case" xfId="50" xr:uid="{00000000-0005-0000-0000-000003000000}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BudgetMon - Numbers" xfId="27" xr:uid="{00000000-0005-0000-0000-00001D000000}"/>
    <cellStyle name="BudgetMon - Numbers 2" xfId="51" xr:uid="{00000000-0005-0000-0000-00001E000000}"/>
    <cellStyle name="Calculation" xfId="28" builtinId="22" customBuiltin="1"/>
    <cellStyle name="Check Cell" xfId="29" builtinId="23" customBuiltin="1"/>
    <cellStyle name="Comma" xfId="30" builtinId="3"/>
    <cellStyle name="Comma 2" xfId="52" xr:uid="{00000000-0005-0000-0000-000022000000}"/>
    <cellStyle name="Comma 2 2" xfId="53" xr:uid="{00000000-0005-0000-0000-000023000000}"/>
    <cellStyle name="Comma 3" xfId="54" xr:uid="{00000000-0005-0000-0000-000024000000}"/>
    <cellStyle name="Comma 4" xfId="55" xr:uid="{00000000-0005-0000-0000-000025000000}"/>
    <cellStyle name="Currency 2" xfId="56" xr:uid="{00000000-0005-0000-0000-000026000000}"/>
    <cellStyle name="Explanatory Text" xfId="31" builtinId="53" customBuiltin="1"/>
    <cellStyle name="Good" xfId="32" builtinId="26" customBuiltin="1"/>
    <cellStyle name="group" xfId="57" xr:uid="{00000000-0005-0000-0000-000029000000}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berata:Worksheet Heading" xfId="58" xr:uid="{00000000-0005-0000-0000-00002F000000}"/>
    <cellStyle name="Linked Cell" xfId="38" builtinId="24" customBuiltin="1"/>
    <cellStyle name="Neutral" xfId="39" builtinId="28" customBuiltin="1"/>
    <cellStyle name="Nor}al" xfId="59" xr:uid="{00000000-0005-0000-0000-000032000000}"/>
    <cellStyle name="Normal" xfId="0" builtinId="0"/>
    <cellStyle name="Normal 2" xfId="60" xr:uid="{00000000-0005-0000-0000-000034000000}"/>
    <cellStyle name="Normal 2 2" xfId="61" xr:uid="{00000000-0005-0000-0000-000035000000}"/>
    <cellStyle name="Normal 2 3" xfId="62" xr:uid="{00000000-0005-0000-0000-000036000000}"/>
    <cellStyle name="Normal 3" xfId="63" xr:uid="{00000000-0005-0000-0000-000037000000}"/>
    <cellStyle name="Normal 4" xfId="47" xr:uid="{00000000-0005-0000-0000-000038000000}"/>
    <cellStyle name="Normal_Budget 2002 2003 1 Nov" xfId="40" xr:uid="{00000000-0005-0000-0000-000039000000}"/>
    <cellStyle name="Note" xfId="41" builtinId="10" customBuiltin="1"/>
    <cellStyle name="Note 2" xfId="64" xr:uid="{00000000-0005-0000-0000-00003B000000}"/>
    <cellStyle name="Output" xfId="42" builtinId="21" customBuiltin="1"/>
    <cellStyle name="Output Amounts" xfId="65" xr:uid="{00000000-0005-0000-0000-00003D000000}"/>
    <cellStyle name="Percent 2" xfId="66" xr:uid="{00000000-0005-0000-0000-00003E000000}"/>
    <cellStyle name="Row_Headings" xfId="43" xr:uid="{00000000-0005-0000-0000-00003F000000}"/>
    <cellStyle name="s" xfId="67" xr:uid="{00000000-0005-0000-0000-000040000000}"/>
    <cellStyle name="s_Analysisv2" xfId="68" xr:uid="{00000000-0005-0000-0000-000041000000}"/>
    <cellStyle name="s_Analysisv3" xfId="69" xr:uid="{00000000-0005-0000-0000-000042000000}"/>
    <cellStyle name="s_Analysisv6" xfId="70" xr:uid="{00000000-0005-0000-0000-000043000000}"/>
    <cellStyle name="s_CapitalOutturn08-09vFinal" xfId="71" xr:uid="{00000000-0005-0000-0000-000044000000}"/>
    <cellStyle name="s_Transactions" xfId="72" xr:uid="{00000000-0005-0000-0000-000045000000}"/>
    <cellStyle name="Style 1" xfId="73" xr:uid="{00000000-0005-0000-0000-000046000000}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avenpdc\Finance\ACCOUNTS\Dean\Revenue%20Budgets\Revenue%20Budget%20Monitoring\2001-02\Committee%20Budget%20Monitoring\to%2031st%20January\Budget%20Monitoring%20Spreadsheets%20and%20Reports\Summary%20to%2031st%20Januar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Langton\Revenue%20Budget\Medium%20Term%20Financial%20Plan\2014-17\Budget%20Model%20-%20GF%20-%202014-17v.13%20-%20With%20CT%20Increase%20-%20Mgt%20Team%20Budget%20(Adjusted%20for%20Pensions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Langton\Revenue%20Budget\2011-12\Budget%20Summaries\Balancing%20the%20Budget%202011-12v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ster%20Recharge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Langton\Revenue%20Budget\2013-14\Savings%20Proposals\Service%20Booklet%20-%20By%20Portfolio%20-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npbcfps001\data-accounts-elliott$\BTaylor\Bud201112\serviceareas1011fix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RANDI~1\LOCALS~1\Temp\Temporary%20Directory%201%20for%20Redcar%20Business%20Case%20Model%20Summary%20for%20Review%20-%2021%20June%202011.zip\MOB_34202_P05_FY11%20-%20Revised%20Case%20%232%2021-06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cal%20Government\Redcar\Other\Rebids\Re-Bid%20June%202011\MOB_34202_P05_FY11%20-%202012%20Revised%20C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rrent\Capital\Year%20End\2006-07\Finalisation\CapitalOutturn06-07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rrent\Capital\Monitoring\Capital%20Monitoring%202007-2008\MonitoringStatement2007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Latham\Current\Capital\Year%20End\2008-09\Final%20Documents\OtherPap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Yr"/>
      <sheetName val="Main Menu"/>
      <sheetName val="Workbook Index"/>
      <sheetName val="Print Options"/>
      <sheetName val="Period"/>
      <sheetName val="Budget Managers"/>
      <sheetName val="For Committee Report"/>
      <sheetName val="Comparison to Prev Period"/>
      <sheetName val="Budget Monitoring Summary"/>
      <sheetName val="Overall Summary"/>
      <sheetName val="Overall Summary (Comparison)"/>
      <sheetName val="Overall Summary(Revised) "/>
      <sheetName val="Overall Detail"/>
      <sheetName val="Budget Manager Summary"/>
      <sheetName val="Budget Manager Summary-HoS"/>
      <sheetName val="Heads of Service Summary"/>
      <sheetName val="Variance Analysis"/>
      <sheetName val="Chief Executive"/>
      <sheetName val="Head of Legal and Dem"/>
      <sheetName val="Head of Human Resources"/>
      <sheetName val="Head of Finance"/>
      <sheetName val="Head of Operational Services"/>
      <sheetName val="Head of IT"/>
      <sheetName val="Head of Planning"/>
      <sheetName val="Head of Housing"/>
      <sheetName val="Head of Econ Dev"/>
      <sheetName val="Corp Mangmnt "/>
      <sheetName val="Capital Financing"/>
      <sheetName val="Property Reserve"/>
      <sheetName val="Alan Atkins"/>
      <sheetName val="Andrew Mackay"/>
      <sheetName val="Sharon Taylor"/>
      <sheetName val="Sen Econ Dev Officer"/>
      <sheetName val="Colin Iveson"/>
      <sheetName val="Dave Wood"/>
      <sheetName val="David Allison"/>
      <sheetName val="Dean Langton"/>
      <sheetName val="Denise Thompson"/>
      <sheetName val="Duncan Hartley"/>
      <sheetName val="Greg Robinson"/>
      <sheetName val="Howard Bradley"/>
      <sheetName val="Jonathan Kerr"/>
      <sheetName val="Joanne Szostak"/>
      <sheetName val="Policy Officer"/>
      <sheetName val="Karl Tattam"/>
      <sheetName val="Ken Robinson"/>
      <sheetName val="Lindsey Quinn"/>
      <sheetName val="Mary Gosden"/>
      <sheetName val="Matthew Collins"/>
      <sheetName val="Property Manager"/>
      <sheetName val="Michael Brown"/>
      <sheetName val="Michael Hewson"/>
      <sheetName val="Michael Turnball"/>
      <sheetName val="Miles Walton"/>
      <sheetName val="Neil Holmes"/>
      <sheetName val="Neville Allan"/>
      <sheetName val="Paul Ellis"/>
      <sheetName val="Rachel Mann"/>
      <sheetName val="Sian Watson"/>
      <sheetName val="Stephen Pratt"/>
      <sheetName val="Sue Barker"/>
      <sheetName val="Sue Laycock"/>
      <sheetName val="Trish Gray"/>
      <sheetName val="Val Mason"/>
      <sheetName val="Vince Gree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tanding Items"/>
      <sheetName val="Financial Year"/>
      <sheetName val="Data"/>
      <sheetName val="£2m Reduction"/>
      <sheetName val="Scenario 1"/>
      <sheetName val="Discretionary Spend"/>
      <sheetName val="Savings Required"/>
      <sheetName val="Funding Statement - For Report"/>
      <sheetName val="10 Year Summary (2)"/>
      <sheetName val="Scenario 2"/>
      <sheetName val="Scenario 3"/>
      <sheetName val="Scenario 4"/>
      <sheetName val="Sheet1"/>
      <sheetName val="Cost Centre Comparison"/>
      <sheetName val="Council Tax Yield"/>
      <sheetName val="Sheet3"/>
      <sheetName val="Sheet2"/>
      <sheetName val="Savings 2014-16"/>
      <sheetName val="Savings 2014-16 - Revised"/>
      <sheetName val="Savings 2014-16 - Management Te"/>
      <sheetName val="Savings 2014-16 - Post Sept Exe"/>
      <sheetName val="£12m Budget Model"/>
      <sheetName val="Funding in 2016-17"/>
      <sheetName val="Sheet6"/>
      <sheetName val="Sheet4"/>
      <sheetName val="Funding Statement"/>
      <sheetName val="Change in Funding"/>
      <sheetName val="Budget Adjustments"/>
      <sheetName val="10 Yr Inc and Exp Model"/>
      <sheetName val="10 Yr Inc and Exp Flex"/>
      <sheetName val="YonY Movement (BR) - UPDATED"/>
      <sheetName val="YonY (Net Cost of Services)"/>
      <sheetName val="YonY Movement (NExpenditure)"/>
      <sheetName val="GF Summary (Services)"/>
      <sheetName val="10Yr Plan REAL CASE"/>
      <sheetName val="10Yr Plan REAL CASE (2)"/>
      <sheetName val="10YrSum-Worst Case"/>
      <sheetName val="Scenarios2 - Grant-3%"/>
      <sheetName val="Scenarios2 - Grant-4%"/>
      <sheetName val="Scenarios2 - Grant-5%"/>
      <sheetName val="Year on Year Movements"/>
      <sheetName val="YonY Movement(NEXP) - UPDATED"/>
      <sheetName val="10Yr Plan Good Case"/>
      <sheetName val="10Yr Plan Best Case"/>
      <sheetName val="Chart1"/>
      <sheetName val="10YrSum-Worst Case - Transition"/>
      <sheetName val="10YrSum-Worst Case - Transi (2)"/>
      <sheetName val="10YrSum-Worst Case - Transi (3)"/>
      <sheetName val="Key"/>
      <sheetName val="Checks No 1"/>
      <sheetName val="Checks No 2"/>
      <sheetName val="Reconciliation to TM"/>
      <sheetName val="GF Summary (Departments)"/>
      <sheetName val="Council Tax Freeze Grant"/>
      <sheetName val="Efficiency Support"/>
      <sheetName val="Small Business Rates Grant"/>
      <sheetName val="New Homes Bonus"/>
      <sheetName val="Contingencies"/>
      <sheetName val="Area Committees"/>
      <sheetName val="RCCO"/>
      <sheetName val="Partnership Contribution"/>
      <sheetName val="MRP"/>
      <sheetName val="AMRA"/>
      <sheetName val="Investment Income"/>
      <sheetName val="Repayments of Principal"/>
      <sheetName val="VAT Shelter Savings"/>
      <sheetName val="Housing Stock Transfer"/>
      <sheetName val="Use of Balances"/>
      <sheetName val="Performance Reward Grant"/>
      <sheetName val="Use of Reserves"/>
      <sheetName val="RSG and NNDR"/>
      <sheetName val="Directorate"/>
      <sheetName val="Chief Executive Policy Unit"/>
      <sheetName val="Corporate Management "/>
      <sheetName val="CCTV"/>
      <sheetName val="CSP"/>
      <sheetName val="CEPU Service Area"/>
      <sheetName val="Financial Services"/>
      <sheetName val="Subscriptions"/>
      <sheetName val="Donations"/>
      <sheetName val="Financial Services Costs"/>
      <sheetName val="Additional Allowances"/>
      <sheetName val="Drainage Board"/>
      <sheetName val="Parish Councils"/>
      <sheetName val="Insurances"/>
      <sheetName val="Pendle Leisure"/>
      <sheetName val="Central Telephones"/>
      <sheetName val="Contact Centre"/>
      <sheetName val="Service Area Holding Account"/>
      <sheetName val="FinServ Service Area"/>
      <sheetName val="Liberata Services"/>
      <sheetName val="Employment Schemes"/>
      <sheetName val="Other Employees Issues"/>
      <sheetName val="HR Service Area"/>
      <sheetName val="IT Service Area"/>
      <sheetName val="Administrative Buildings"/>
      <sheetName val="Estate and Properties"/>
      <sheetName val="Markets"/>
      <sheetName val="Industrial Estates"/>
      <sheetName val="Property Service Area"/>
      <sheetName val="NNDR Cost of Collection"/>
      <sheetName val="Council Tax Cost of Collection"/>
      <sheetName val="Council Tax Benefits"/>
      <sheetName val="Rent Allowances"/>
      <sheetName val="Housing Advances"/>
      <sheetName val="Treasury Service Area"/>
      <sheetName val="Democratic and Legal Services"/>
      <sheetName val="Mayoralty and Member Services"/>
      <sheetName val="Registration of Electors"/>
      <sheetName val="Council Elections"/>
      <sheetName val="Local Land Charges"/>
      <sheetName val="Licencing"/>
      <sheetName val="TownTwin&amp;Civic Expenses"/>
      <sheetName val="Print Unit"/>
      <sheetName val="Dem&amp;Legal Service Area"/>
      <sheetName val="Planning &amp; Building Control"/>
      <sheetName val="Building Control"/>
      <sheetName val="Development Control"/>
      <sheetName val="Planning Policy"/>
      <sheetName val="Gen Env Enhn"/>
      <sheetName val="Planning and BC Service Area"/>
      <sheetName val="Regeneration Services"/>
      <sheetName val="Homelessness"/>
      <sheetName val="Private Sector Housing"/>
      <sheetName val="Pendle Women's Refuge"/>
      <sheetName val="Environmental Action Group"/>
      <sheetName val="Tackling Unemployment Project"/>
      <sheetName val="Tourism Management"/>
      <sheetName val="Tourism"/>
      <sheetName val="Econ Dev and Promotions"/>
      <sheetName val="Info and Visitor Centre"/>
      <sheetName val="Econ Dev Service Area"/>
      <sheetName val="Housing Regen Service Area"/>
      <sheetName val="Eng and Special Projects"/>
      <sheetName val="Private Street Works"/>
      <sheetName val="District Highways"/>
      <sheetName val="Residual Highways"/>
      <sheetName val="Countryside Access"/>
      <sheetName val="Car Parking"/>
      <sheetName val="Route Subsidies"/>
      <sheetName val="Passenger Shelters"/>
      <sheetName val="Bus Station"/>
      <sheetName val="Land Drainage - Non Agency"/>
      <sheetName val="Taxi Licencing"/>
      <sheetName val="Decorations"/>
      <sheetName val="Cycleways"/>
      <sheetName val="Reclamation"/>
      <sheetName val="Town Centres"/>
      <sheetName val="Eng and Spec Proj Serv Area"/>
      <sheetName val="Waste Management"/>
      <sheetName val="Street Cleansing"/>
      <sheetName val="Waste Collection - Domestic"/>
      <sheetName val="Waste Collection - Trade"/>
      <sheetName val="Recycling"/>
      <sheetName val="Enforcement Team"/>
      <sheetName val="Public Conveniences"/>
      <sheetName val="Luncheon Club"/>
      <sheetName val="Social Community Centres"/>
      <sheetName val="Christmas Events"/>
      <sheetName val="Emergency Planning"/>
      <sheetName val="Depot"/>
      <sheetName val="Operational Serv Service Area"/>
      <sheetName val="Environmental Health Services"/>
      <sheetName val="Food Hygiene"/>
      <sheetName val="Air Pollution"/>
      <sheetName val="Noise Control"/>
      <sheetName val="Occupational Health"/>
      <sheetName val="Public Health"/>
      <sheetName val="Pest Control"/>
      <sheetName val="EHS - Service Area"/>
      <sheetName val="Parks and Recreation Services"/>
      <sheetName val="Playing Fields"/>
      <sheetName val="Parks Games"/>
      <sheetName val="Parks"/>
      <sheetName val="Open Spaces "/>
      <sheetName val="Playgrounds"/>
      <sheetName val="Picnic Sites"/>
      <sheetName val="Cemeteries"/>
      <sheetName val="Landscape Maintenance"/>
      <sheetName val="Parks and Recs Service Area"/>
      <sheetName val="Insurance"/>
      <sheetName val="Service Units"/>
      <sheetName val="Salaries"/>
      <sheetName val="AMRA (inc Capital Charges)"/>
      <sheetName val="AMRA (inc Capital Charges) (2)"/>
      <sheetName val="Admin Buildings"/>
      <sheetName val="Internal Recharge - Central Adm"/>
      <sheetName val="NCOS Variance per v3"/>
      <sheetName val="Contracts"/>
      <sheetName val="External Funding Income"/>
      <sheetName val="Other Inflation"/>
      <sheetName val="BB SUMMARY"/>
      <sheetName val="Fees and Charges"/>
      <sheetName val="Internal Recharge - Computer"/>
      <sheetName val="Salary Estimates"/>
      <sheetName val="Salaries Download"/>
      <sheetName val="Wages Download"/>
      <sheetName val="Salaries Summary"/>
    </sheetNames>
    <sheetDataSet>
      <sheetData sheetId="0"/>
      <sheetData sheetId="1">
        <row r="16">
          <cell r="G16" t="str">
            <v>2014/15</v>
          </cell>
        </row>
        <row r="17">
          <cell r="G17" t="str">
            <v>2015/16</v>
          </cell>
        </row>
        <row r="18">
          <cell r="G18" t="str">
            <v>2016/17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Ref"/>
      <sheetName val="App E - Firming Up Adjustments"/>
      <sheetName val="App F - Budget Proposal"/>
      <sheetName val="Executive 16th December 2010"/>
      <sheetName val="Paper 1-Firm Up Adjusts"/>
      <sheetName val="Paper 2 - MT Proposal"/>
      <sheetName val="Paper 3 - Leisure Trust"/>
      <sheetName val="Paper 4 - Budget Growth"/>
      <sheetName val="Savings - Post Council 10th (2)"/>
      <sheetName val="Paper 3 - Savings Proposals"/>
      <sheetName val="Paper 1a-Summary (17% in 2y (2)"/>
      <sheetName val="Paper 1b-Summary (25% in 2yrs)"/>
      <sheetName val="Post 16th December"/>
      <sheetName val="Budget Report"/>
      <sheetName val="Budget Report - only £500k Yr1"/>
      <sheetName val="Paper 2 - Budget Savings (2)"/>
      <sheetName val="Paper 2 - Budget Savings"/>
      <sheetName val="Paper 1a-Summary (2)"/>
      <sheetName val="Paper 1a-Summary (3)"/>
      <sheetName val="Option A - Minimum"/>
      <sheetName val="Option 2 - GrantResSaving"/>
      <sheetName val="Option 3 - GrantResSaving £1m"/>
      <sheetName val="Option 4 - No Savings"/>
      <sheetName val="For Discussion"/>
      <sheetName val="Use of Transitional Grant"/>
      <sheetName val="Chart1"/>
      <sheetName val="Sheet4"/>
      <sheetName val="For Graphs"/>
      <sheetName val="Sheet2"/>
      <sheetName val="Sheet1"/>
      <sheetName val="Funding"/>
      <sheetName val="Spending"/>
      <sheetName val="Chart4"/>
      <sheetName val="Start - Best"/>
      <sheetName val="Possible"/>
      <sheetName val="Initial Options"/>
      <sheetName val="v1 ToMgtTeam 06-01-08"/>
      <sheetName val="Sheet3"/>
    </sheetNames>
    <sheetDataSet>
      <sheetData sheetId="0"/>
      <sheetData sheetId="1"/>
      <sheetData sheetId="2"/>
      <sheetData sheetId="3">
        <row r="15">
          <cell r="E15">
            <v>-158000</v>
          </cell>
          <cell r="F15">
            <v>-158000</v>
          </cell>
          <cell r="G15">
            <v>-158000</v>
          </cell>
          <cell r="H15">
            <v>-158000</v>
          </cell>
        </row>
        <row r="17">
          <cell r="E17">
            <v>17646220</v>
          </cell>
          <cell r="F17">
            <v>18426500</v>
          </cell>
          <cell r="G17">
            <v>20060300</v>
          </cell>
          <cell r="H17">
            <v>20783820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Recharge File"/>
      <sheetName val="Account &amp; OPU Mapping"/>
      <sheetName val="Current Month Depn Fcast"/>
      <sheetName val="Mvmt from Last Month Depn Fcast"/>
      <sheetName val="Upload Fil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 Draft Cover Budget"/>
      <sheetName val="GF Cover Budget"/>
      <sheetName val="Cover Budget"/>
      <sheetName val="Contents"/>
      <sheetName val="By Portfolio"/>
      <sheetName val=" GF Summ"/>
      <sheetName val="Portfolio Cover"/>
      <sheetName val="By Portfolio - Summary"/>
      <sheetName val="By Portfolio - Detail"/>
      <sheetName val="Housing and Regeneration"/>
      <sheetName val="Chief Executive's Policy Unit"/>
      <sheetName val="Econ Dev, Ent and Growth "/>
      <sheetName val="Comms and Engagement"/>
      <sheetName val="Central Services"/>
      <sheetName val="Devolved Services"/>
      <sheetName val="Environmental Services"/>
      <sheetName val="Parks and Recreation Services"/>
      <sheetName val="Planning and Climate Change"/>
      <sheetName val="Community Safety and Engineers"/>
      <sheetName val="Insurance"/>
      <sheetName val="Internal Market Analysis"/>
      <sheetName val="Printing"/>
      <sheetName val="Telephones"/>
      <sheetName val="Admin Buildings Analysis"/>
      <sheetName val="Capital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IR"/>
      <sheetName val="CEP"/>
      <sheetName val="GEN"/>
      <sheetName val="AAA"/>
      <sheetName val="DAL"/>
      <sheetName val="PBC"/>
      <sheetName val="OPS"/>
      <sheetName val="EHS"/>
      <sheetName val="PCO"/>
      <sheetName val="HRS"/>
      <sheetName val="ECD"/>
      <sheetName val="ESP"/>
      <sheetName val="HUM"/>
      <sheetName val="ICT"/>
      <sheetName val="PAT"/>
      <sheetName val="TRE"/>
      <sheetName val="CODES"/>
      <sheetName val="CHECK"/>
      <sheetName val="SALCALSUM"/>
      <sheetName val="SALCAL"/>
      <sheetName val="FUNDED"/>
      <sheetName val="ALLOCS%"/>
      <sheetName val="ALLOCS£"/>
      <sheetName val="INT"/>
      <sheetName val="MTFP SUMMARY"/>
      <sheetName val="CC SUMMARY"/>
      <sheetName val="BB SUMMARY"/>
      <sheetName val="FUNDING"/>
      <sheetName val="B BOOK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- Revised Forecast"/>
      <sheetName val="Changes Tracker"/>
      <sheetName val="Revenue"/>
      <sheetName val="Employees"/>
      <sheetName val="Costs"/>
      <sheetName val="Risks &amp; Opportunities"/>
      <sheetName val="Revised Case Recharges"/>
      <sheetName val="Base Case Recharges"/>
      <sheetName val="Assumptions"/>
      <sheetName val="Working for Business Case"/>
      <sheetName val="Base Salaries Working"/>
      <sheetName val="Working - Resource M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Cover"/>
      <sheetName val="P&amp;L - Current Forecast"/>
      <sheetName val="Revenue"/>
      <sheetName val="Employees"/>
      <sheetName val="Costs"/>
      <sheetName val="Changes Tracker"/>
      <sheetName val="AR009 - AA"/>
      <sheetName val="AR009 - UL"/>
      <sheetName val="AR009 - BA"/>
      <sheetName val="OPU Mappings"/>
      <sheetName val="Lis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onitoring Format"/>
      <sheetName val="Financing"/>
      <sheetName val="CFR"/>
      <sheetName val="Summary"/>
      <sheetName val="Cap Exp"/>
      <sheetName val="Cap Anal"/>
      <sheetName val="Grants etc"/>
      <sheetName val="Grants Deferred"/>
      <sheetName val="Fin Summary Accruals"/>
      <sheetName val="Cap Just Accruals"/>
      <sheetName val="Fin Summary Cash"/>
      <sheetName val="Cap Just Cash"/>
      <sheetName val="Cap Rcpts Detail"/>
      <sheetName val="Cap Rcpts Sum"/>
      <sheetName val="Asset Movements"/>
      <sheetName val="Capital Salaries"/>
      <sheetName val="CapitalRadius"/>
      <sheetName val="External"/>
      <sheetName val="Reconcilliations"/>
      <sheetName val="Creditors"/>
      <sheetName val="ExtFundedAqu"/>
      <sheetName val="Monitoring"/>
      <sheetName val="Monitoring (3)"/>
      <sheetName val="Monitoring (mon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2"/>
      <sheetName val="Capital Programme 2007-08"/>
      <sheetName val="Housing"/>
      <sheetName val="AreaCommittees"/>
      <sheetName val="ChangeControl"/>
      <sheetName val="Cap Exp"/>
      <sheetName val="External"/>
      <sheetName val="CapitalSpend"/>
      <sheetName val="OLAP"/>
      <sheetName val="CPR"/>
      <sheetName val="Financing &amp;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Virement"/>
      <sheetName val="DRs&amp;CRsBFWD"/>
      <sheetName val="Grants (2)"/>
      <sheetName val="Summary (2)"/>
      <sheetName val="Cap Rcpts Detail"/>
      <sheetName val="Cap Rcpts Sum"/>
      <sheetName val="Cap Exp"/>
      <sheetName val="Capital Programme 2008-1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</sheetPr>
  <dimension ref="B7:F30"/>
  <sheetViews>
    <sheetView topLeftCell="A13" workbookViewId="0">
      <selection activeCell="C23" sqref="C23:C29"/>
    </sheetView>
  </sheetViews>
  <sheetFormatPr defaultRowHeight="13.15"/>
  <cols>
    <col min="2" max="2" width="54.28515625" customWidth="1"/>
    <col min="3" max="3" width="13.140625" customWidth="1"/>
    <col min="4" max="6" width="10.5703125" customWidth="1"/>
  </cols>
  <sheetData>
    <row r="7" spans="2:6" ht="16.149999999999999" thickBot="1">
      <c r="B7" s="105" t="s">
        <v>0</v>
      </c>
    </row>
    <row r="8" spans="2:6" ht="16.5" customHeight="1" thickTop="1">
      <c r="B8" s="251"/>
      <c r="C8" s="22" t="s">
        <v>1</v>
      </c>
      <c r="D8" s="22"/>
      <c r="E8" s="22"/>
      <c r="F8" s="22"/>
    </row>
    <row r="9" spans="2:6" ht="16.5" customHeight="1">
      <c r="B9" s="252"/>
      <c r="C9" s="23" t="s">
        <v>2</v>
      </c>
      <c r="D9" s="23" t="s">
        <v>3</v>
      </c>
      <c r="E9" s="23" t="s">
        <v>3</v>
      </c>
      <c r="F9" s="23" t="s">
        <v>3</v>
      </c>
    </row>
    <row r="10" spans="2:6" ht="16.5" customHeight="1">
      <c r="B10" s="252"/>
      <c r="C10" s="23" t="s">
        <v>4</v>
      </c>
      <c r="D10" s="23" t="s">
        <v>5</v>
      </c>
      <c r="E10" s="23" t="s">
        <v>6</v>
      </c>
      <c r="F10" s="23" t="s">
        <v>7</v>
      </c>
    </row>
    <row r="11" spans="2:6" ht="16.149999999999999" thickBot="1">
      <c r="B11" s="253"/>
      <c r="C11" s="102">
        <v>0</v>
      </c>
      <c r="D11" s="102">
        <v>0</v>
      </c>
      <c r="E11" s="102">
        <v>0</v>
      </c>
      <c r="F11" s="102">
        <v>0</v>
      </c>
    </row>
    <row r="12" spans="2:6" ht="15.6" thickTop="1">
      <c r="B12" s="26"/>
      <c r="C12" s="27"/>
      <c r="D12" s="27"/>
      <c r="E12" s="27"/>
      <c r="F12" s="27"/>
    </row>
    <row r="13" spans="2:6" ht="16.149999999999999">
      <c r="B13" s="103" t="s">
        <v>8</v>
      </c>
      <c r="C13" s="107">
        <f>'App A - Final Firming Up'!E9/1000</f>
        <v>19508.7</v>
      </c>
      <c r="D13" s="107">
        <f>'App A - Final Firming Up'!F9/1000</f>
        <v>20314.919999999998</v>
      </c>
      <c r="E13" s="107">
        <f>'App A - Final Firming Up'!G9/1000</f>
        <v>20858.11</v>
      </c>
      <c r="F13" s="107" t="e">
        <f>'App A - Final Firming Up'!#REF!/1000</f>
        <v>#REF!</v>
      </c>
    </row>
    <row r="14" spans="2:6" ht="15">
      <c r="B14" s="103" t="s">
        <v>9</v>
      </c>
      <c r="C14" s="107" t="e">
        <f>('App A - Final Firming Up'!#REF!+'App A - Final Firming Up'!#REF!+SUM('App A - Final Firming Up'!#REF!))/1000</f>
        <v>#REF!</v>
      </c>
      <c r="D14" s="107" t="e">
        <f>('App A - Final Firming Up'!#REF!+'App A - Final Firming Up'!#REF!+SUM('App A - Final Firming Up'!#REF!))/1000</f>
        <v>#REF!</v>
      </c>
      <c r="E14" s="107" t="e">
        <f>('App A - Final Firming Up'!#REF!+'App A - Final Firming Up'!#REF!+SUM('App A - Final Firming Up'!#REF!))/1000</f>
        <v>#REF!</v>
      </c>
      <c r="F14" s="107" t="e">
        <f>('App A - Final Firming Up'!#REF!+'App A - Final Firming Up'!#REF!+SUM('App A - Final Firming Up'!#REF!))/1000</f>
        <v>#REF!</v>
      </c>
    </row>
    <row r="15" spans="2:6" ht="15.6" thickBot="1">
      <c r="B15" s="103" t="s">
        <v>10</v>
      </c>
      <c r="C15" s="107">
        <f>SUM('App A - Final Firming Up'!E37:E37)/1000</f>
        <v>0</v>
      </c>
      <c r="D15" s="107">
        <f>SUM('App A - Final Firming Up'!F37:F37)/1000</f>
        <v>0</v>
      </c>
      <c r="E15" s="107">
        <f>SUM('App A - Final Firming Up'!G37:G37)/1000</f>
        <v>0</v>
      </c>
      <c r="F15" s="107" t="e">
        <f>SUM('App A - Final Firming Up'!#REF!)/1000</f>
        <v>#REF!</v>
      </c>
    </row>
    <row r="16" spans="2:6" ht="16.899999999999999" thickTop="1" thickBot="1">
      <c r="B16" s="104" t="s">
        <v>11</v>
      </c>
      <c r="C16" s="110" t="e">
        <f>SUM(C13:C15)</f>
        <v>#REF!</v>
      </c>
      <c r="D16" s="110" t="e">
        <f>SUM(D13:D15)</f>
        <v>#REF!</v>
      </c>
      <c r="E16" s="110" t="e">
        <f>SUM(E13:E15)</f>
        <v>#REF!</v>
      </c>
      <c r="F16" s="110" t="e">
        <f>SUM(F13:F15)</f>
        <v>#REF!</v>
      </c>
    </row>
    <row r="17" spans="2:3" ht="13.9" thickTop="1"/>
    <row r="18" spans="2:3" ht="13.9" thickBot="1"/>
    <row r="19" spans="2:3" ht="16.149999999999999" thickTop="1">
      <c r="B19" s="251"/>
      <c r="C19" s="22" t="s">
        <v>1</v>
      </c>
    </row>
    <row r="20" spans="2:3" ht="15.6">
      <c r="B20" s="252"/>
      <c r="C20" s="23" t="s">
        <v>2</v>
      </c>
    </row>
    <row r="21" spans="2:3" ht="15.6">
      <c r="B21" s="252"/>
      <c r="C21" s="23" t="s">
        <v>4</v>
      </c>
    </row>
    <row r="22" spans="2:3" ht="16.149999999999999" thickBot="1">
      <c r="B22" s="253"/>
      <c r="C22" s="102">
        <v>0</v>
      </c>
    </row>
    <row r="23" spans="2:3" ht="15.6" thickTop="1">
      <c r="B23" s="103" t="s">
        <v>12</v>
      </c>
      <c r="C23" s="106" t="e">
        <f>C16</f>
        <v>#REF!</v>
      </c>
    </row>
    <row r="24" spans="2:3" ht="15">
      <c r="B24" s="103" t="s">
        <v>13</v>
      </c>
      <c r="C24" s="107">
        <f>SUM('App I - Budget Proposal'!E25:E57)/1000</f>
        <v>-1473.82</v>
      </c>
    </row>
    <row r="25" spans="2:3" ht="15.6" thickBot="1">
      <c r="B25" s="103" t="s">
        <v>14</v>
      </c>
      <c r="C25" s="108">
        <f>SUM('App I - Budget Proposal'!E65)/1000</f>
        <v>393</v>
      </c>
    </row>
    <row r="26" spans="2:3" ht="16.899999999999999" thickTop="1" thickBot="1">
      <c r="B26" s="89" t="s">
        <v>15</v>
      </c>
      <c r="C26" s="109" t="e">
        <f>SUM(C23:C25)</f>
        <v>#REF!</v>
      </c>
    </row>
    <row r="27" spans="2:3" ht="15.6" thickTop="1">
      <c r="B27" s="103" t="s">
        <v>16</v>
      </c>
      <c r="C27" s="28">
        <f>SUM('App I - Budget Proposal'!E67)/1000</f>
        <v>-1625.59</v>
      </c>
    </row>
    <row r="28" spans="2:3" ht="15.6" thickBot="1">
      <c r="C28" s="107">
        <f>SUM('App I - Budget Proposal'!E15:E16)/1000</f>
        <v>-7990.77</v>
      </c>
    </row>
    <row r="29" spans="2:3" ht="16.899999999999999" thickTop="1" thickBot="1">
      <c r="B29" s="104" t="s">
        <v>17</v>
      </c>
      <c r="C29" s="110" t="e">
        <f>SUM(C26:C28)</f>
        <v>#REF!</v>
      </c>
    </row>
    <row r="30" spans="2:3" ht="13.9" thickTop="1"/>
  </sheetData>
  <mergeCells count="2">
    <mergeCell ref="B19:B22"/>
    <mergeCell ref="B8:B11"/>
  </mergeCells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4:E9"/>
  <sheetViews>
    <sheetView workbookViewId="0">
      <selection activeCell="E11" sqref="E11"/>
    </sheetView>
  </sheetViews>
  <sheetFormatPr defaultRowHeight="13.15"/>
  <cols>
    <col min="1" max="1" width="16.28515625" bestFit="1" customWidth="1"/>
    <col min="2" max="2" width="13.28515625" customWidth="1"/>
    <col min="3" max="3" width="13.7109375" bestFit="1" customWidth="1"/>
    <col min="4" max="4" width="12.7109375" customWidth="1"/>
    <col min="5" max="5" width="11.85546875" customWidth="1"/>
  </cols>
  <sheetData>
    <row r="4" spans="1:5">
      <c r="D4" s="257" t="s">
        <v>412</v>
      </c>
      <c r="E4" s="257"/>
    </row>
    <row r="5" spans="1:5">
      <c r="B5" t="s">
        <v>413</v>
      </c>
      <c r="C5" t="s">
        <v>414</v>
      </c>
      <c r="D5" s="1" t="s">
        <v>415</v>
      </c>
      <c r="E5" s="1" t="s">
        <v>269</v>
      </c>
    </row>
    <row r="7" spans="1:5">
      <c r="A7" t="s">
        <v>416</v>
      </c>
    </row>
    <row r="8" spans="1:5">
      <c r="A8" t="s">
        <v>417</v>
      </c>
    </row>
    <row r="9" spans="1:5">
      <c r="A9" t="s">
        <v>418</v>
      </c>
    </row>
  </sheetData>
  <mergeCells count="1">
    <mergeCell ref="D4:E4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"/>
  <sheetViews>
    <sheetView workbookViewId="0"/>
  </sheetViews>
  <sheetFormatPr defaultRowHeight="13.15"/>
  <sheetData/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"/>
  <sheetViews>
    <sheetView workbookViewId="0"/>
  </sheetViews>
  <sheetFormatPr defaultRowHeight="13.1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1"/>
    <pageSetUpPr fitToPage="1"/>
  </sheetPr>
  <dimension ref="A1:AE112"/>
  <sheetViews>
    <sheetView tabSelected="1" topLeftCell="B1" zoomScale="75" zoomScaleNormal="100" zoomScaleSheetLayoutView="100" workbookViewId="0">
      <selection activeCell="M23" sqref="M23"/>
    </sheetView>
  </sheetViews>
  <sheetFormatPr defaultRowHeight="13.15"/>
  <cols>
    <col min="1" max="1" width="0" hidden="1" customWidth="1"/>
    <col min="2" max="2" width="6.28515625" customWidth="1"/>
    <col min="3" max="3" width="66" customWidth="1"/>
    <col min="4" max="4" width="18.140625" hidden="1" customWidth="1"/>
    <col min="5" max="5" width="17.5703125" customWidth="1"/>
    <col min="6" max="6" width="15.42578125" customWidth="1"/>
    <col min="7" max="7" width="17.28515625" customWidth="1"/>
    <col min="8" max="8" width="9.140625" style="2"/>
    <col min="9" max="11" width="0" style="2" hidden="1" customWidth="1"/>
    <col min="12" max="12" width="9.140625" style="2"/>
    <col min="13" max="13" width="10.140625" style="2" bestFit="1" customWidth="1"/>
    <col min="14" max="31" width="9.140625" style="2"/>
  </cols>
  <sheetData>
    <row r="1" spans="1:7" ht="21">
      <c r="A1" s="2"/>
      <c r="B1" s="3" t="s">
        <v>18</v>
      </c>
      <c r="C1" s="2"/>
      <c r="D1" s="2"/>
      <c r="E1" s="2"/>
      <c r="F1" s="2"/>
      <c r="G1" s="2"/>
    </row>
    <row r="2" spans="1:7" ht="21">
      <c r="A2" s="2"/>
      <c r="B2" s="3" t="str">
        <f>"General Fund Revenue Budget 2026/27 - 'Firming Up' Adjustments v.1"</f>
        <v>General Fund Revenue Budget 2026/27 - 'Firming Up' Adjustments v.1</v>
      </c>
      <c r="C2" s="2"/>
      <c r="D2" s="2"/>
      <c r="E2" s="2"/>
      <c r="F2" s="2"/>
      <c r="G2" s="2"/>
    </row>
    <row r="3" spans="1:7" ht="13.9" thickBot="1">
      <c r="A3" s="2"/>
      <c r="B3" s="2"/>
      <c r="C3" s="2"/>
      <c r="D3" s="2"/>
      <c r="E3" s="2"/>
      <c r="F3" s="2"/>
      <c r="G3" s="2"/>
    </row>
    <row r="4" spans="1:7">
      <c r="A4" s="2"/>
      <c r="B4" s="4"/>
      <c r="C4" s="188"/>
      <c r="D4" s="189"/>
      <c r="E4" s="5" t="s">
        <v>1</v>
      </c>
      <c r="F4" s="183" t="s">
        <v>3</v>
      </c>
      <c r="G4" s="183" t="s">
        <v>3</v>
      </c>
    </row>
    <row r="5" spans="1:7">
      <c r="A5" s="2"/>
      <c r="B5" s="7"/>
      <c r="C5" s="190"/>
      <c r="D5" s="189"/>
      <c r="E5" s="8" t="s">
        <v>2</v>
      </c>
      <c r="F5" s="184" t="s">
        <v>2</v>
      </c>
      <c r="G5" s="184" t="s">
        <v>2</v>
      </c>
    </row>
    <row r="6" spans="1:7">
      <c r="A6" s="2"/>
      <c r="B6" s="7" t="s">
        <v>19</v>
      </c>
      <c r="C6" s="190"/>
      <c r="D6" s="189"/>
      <c r="E6" s="8" t="s">
        <v>20</v>
      </c>
      <c r="F6" s="184" t="s">
        <v>21</v>
      </c>
      <c r="G6" s="184" t="s">
        <v>22</v>
      </c>
    </row>
    <row r="7" spans="1:7">
      <c r="A7" s="2"/>
      <c r="B7" s="10" t="s">
        <v>23</v>
      </c>
      <c r="C7" s="191"/>
      <c r="D7" s="189"/>
      <c r="E7" s="8" t="s">
        <v>24</v>
      </c>
      <c r="F7" s="185" t="s">
        <v>24</v>
      </c>
      <c r="G7" s="185" t="s">
        <v>24</v>
      </c>
    </row>
    <row r="8" spans="1:7" ht="13.9" thickBot="1">
      <c r="A8" s="2"/>
      <c r="B8" s="192"/>
      <c r="C8" s="193"/>
      <c r="D8" s="133"/>
      <c r="E8" s="194"/>
      <c r="F8" s="195"/>
      <c r="G8" s="195"/>
    </row>
    <row r="9" spans="1:7" ht="16.149999999999999" thickBot="1">
      <c r="A9" s="2"/>
      <c r="B9" s="192">
        <v>1</v>
      </c>
      <c r="C9" s="133" t="s">
        <v>25</v>
      </c>
      <c r="D9" s="133"/>
      <c r="E9" s="181">
        <v>19508700</v>
      </c>
      <c r="F9" s="182">
        <v>20314920</v>
      </c>
      <c r="G9" s="182">
        <v>20858110</v>
      </c>
    </row>
    <row r="10" spans="1:7">
      <c r="A10" s="2"/>
      <c r="B10" s="192"/>
      <c r="C10" s="133"/>
      <c r="D10" s="133"/>
      <c r="E10" s="12"/>
      <c r="F10" s="186"/>
      <c r="G10" s="186"/>
    </row>
    <row r="11" spans="1:7">
      <c r="A11" s="2"/>
      <c r="B11" s="192"/>
      <c r="C11" s="86" t="s">
        <v>26</v>
      </c>
      <c r="D11" s="17"/>
      <c r="E11" s="196"/>
      <c r="F11" s="197"/>
      <c r="G11" s="197"/>
    </row>
    <row r="12" spans="1:7">
      <c r="A12" s="2"/>
      <c r="B12" s="192"/>
      <c r="C12" s="17"/>
      <c r="D12" s="17"/>
      <c r="E12" s="196"/>
      <c r="F12" s="197"/>
      <c r="G12" s="197"/>
    </row>
    <row r="13" spans="1:7" ht="15">
      <c r="A13" s="2"/>
      <c r="B13" s="192">
        <f>B9+1</f>
        <v>2</v>
      </c>
      <c r="C13" s="178" t="s">
        <v>27</v>
      </c>
      <c r="D13" s="179"/>
      <c r="E13" s="180">
        <v>-560000</v>
      </c>
      <c r="F13" s="172">
        <v>-576800</v>
      </c>
      <c r="G13" s="172">
        <v>-594100</v>
      </c>
    </row>
    <row r="14" spans="1:7" ht="15">
      <c r="A14" s="2"/>
      <c r="B14" s="192">
        <f>B13+1</f>
        <v>3</v>
      </c>
      <c r="C14" s="178" t="s">
        <v>28</v>
      </c>
      <c r="D14" s="179"/>
      <c r="E14" s="180">
        <v>-65000</v>
      </c>
      <c r="F14" s="172">
        <v>-65000</v>
      </c>
      <c r="G14" s="172">
        <v>-65000</v>
      </c>
    </row>
    <row r="15" spans="1:7" ht="15">
      <c r="A15" s="2"/>
      <c r="B15" s="192">
        <f t="shared" ref="B15:B33" si="0">B14+1</f>
        <v>4</v>
      </c>
      <c r="C15" s="178" t="s">
        <v>29</v>
      </c>
      <c r="D15" s="179"/>
      <c r="E15" s="180">
        <v>221000</v>
      </c>
      <c r="F15" s="172">
        <v>221000</v>
      </c>
      <c r="G15" s="172">
        <v>221000</v>
      </c>
    </row>
    <row r="16" spans="1:7" ht="15">
      <c r="A16" s="2"/>
      <c r="B16" s="192">
        <f t="shared" si="0"/>
        <v>5</v>
      </c>
      <c r="C16" s="178" t="s">
        <v>30</v>
      </c>
      <c r="D16" s="179"/>
      <c r="E16" s="180">
        <v>200000</v>
      </c>
      <c r="F16" s="172">
        <v>200000</v>
      </c>
      <c r="G16" s="172">
        <v>200000</v>
      </c>
    </row>
    <row r="17" spans="1:7" ht="15">
      <c r="A17" s="2"/>
      <c r="B17" s="192">
        <f t="shared" si="0"/>
        <v>6</v>
      </c>
      <c r="C17" s="178" t="s">
        <v>31</v>
      </c>
      <c r="D17" s="180"/>
      <c r="E17" s="180">
        <v>0</v>
      </c>
      <c r="F17" s="172">
        <v>-50000</v>
      </c>
      <c r="G17" s="172">
        <v>-50000</v>
      </c>
    </row>
    <row r="18" spans="1:7" ht="15">
      <c r="A18" s="2"/>
      <c r="B18" s="192">
        <f t="shared" si="0"/>
        <v>7</v>
      </c>
      <c r="C18" s="178" t="s">
        <v>32</v>
      </c>
      <c r="D18" s="180"/>
      <c r="E18" s="180">
        <v>26360</v>
      </c>
      <c r="F18" s="172">
        <v>26360</v>
      </c>
      <c r="G18" s="172">
        <v>26360</v>
      </c>
    </row>
    <row r="19" spans="1:7" ht="15">
      <c r="A19" s="2"/>
      <c r="B19" s="192">
        <f t="shared" si="0"/>
        <v>8</v>
      </c>
      <c r="C19" s="178" t="s">
        <v>33</v>
      </c>
      <c r="D19" s="180"/>
      <c r="E19" s="180">
        <v>43000</v>
      </c>
      <c r="F19" s="172">
        <v>43000</v>
      </c>
      <c r="G19" s="172">
        <v>43000</v>
      </c>
    </row>
    <row r="20" spans="1:7" ht="15">
      <c r="A20" s="2"/>
      <c r="B20" s="192">
        <f t="shared" si="0"/>
        <v>9</v>
      </c>
      <c r="C20" s="178" t="s">
        <v>34</v>
      </c>
      <c r="D20" s="180"/>
      <c r="E20" s="180">
        <v>-75640</v>
      </c>
      <c r="F20" s="172">
        <f t="shared" ref="F20:G23" si="1">E20</f>
        <v>-75640</v>
      </c>
      <c r="G20" s="172">
        <f t="shared" si="1"/>
        <v>-75640</v>
      </c>
    </row>
    <row r="21" spans="1:7" ht="15">
      <c r="A21" s="2"/>
      <c r="B21" s="192">
        <f t="shared" si="0"/>
        <v>10</v>
      </c>
      <c r="C21" s="178" t="s">
        <v>35</v>
      </c>
      <c r="D21" s="180"/>
      <c r="E21" s="180">
        <f>-213530+236080</f>
        <v>22550</v>
      </c>
      <c r="F21" s="172">
        <f t="shared" si="1"/>
        <v>22550</v>
      </c>
      <c r="G21" s="172">
        <f t="shared" si="1"/>
        <v>22550</v>
      </c>
    </row>
    <row r="22" spans="1:7" ht="15">
      <c r="A22" s="2"/>
      <c r="B22" s="192">
        <f t="shared" si="0"/>
        <v>11</v>
      </c>
      <c r="C22" s="178" t="s">
        <v>36</v>
      </c>
      <c r="D22" s="180"/>
      <c r="E22" s="180">
        <v>50560</v>
      </c>
      <c r="F22" s="172">
        <f t="shared" si="1"/>
        <v>50560</v>
      </c>
      <c r="G22" s="172">
        <f t="shared" si="1"/>
        <v>50560</v>
      </c>
    </row>
    <row r="23" spans="1:7" ht="15">
      <c r="A23" s="2"/>
      <c r="B23" s="192">
        <f t="shared" si="0"/>
        <v>12</v>
      </c>
      <c r="C23" s="178" t="s">
        <v>37</v>
      </c>
      <c r="D23" s="180"/>
      <c r="E23" s="180">
        <v>17900</v>
      </c>
      <c r="F23" s="172">
        <f t="shared" si="1"/>
        <v>17900</v>
      </c>
      <c r="G23" s="172">
        <f t="shared" si="1"/>
        <v>17900</v>
      </c>
    </row>
    <row r="24" spans="1:7" ht="15">
      <c r="A24" s="2"/>
      <c r="B24" s="192">
        <f t="shared" si="0"/>
        <v>13</v>
      </c>
      <c r="C24" s="178" t="s">
        <v>38</v>
      </c>
      <c r="D24" s="180"/>
      <c r="E24" s="180">
        <v>55350</v>
      </c>
      <c r="F24" s="172">
        <v>56480</v>
      </c>
      <c r="G24" s="172">
        <v>57620</v>
      </c>
    </row>
    <row r="25" spans="1:7" ht="15">
      <c r="A25" s="2"/>
      <c r="B25" s="192">
        <f t="shared" si="0"/>
        <v>14</v>
      </c>
      <c r="C25" s="178" t="s">
        <v>39</v>
      </c>
      <c r="D25" s="180"/>
      <c r="E25" s="180">
        <v>-49300</v>
      </c>
      <c r="F25" s="172">
        <f t="shared" ref="F25:G29" si="2">E25</f>
        <v>-49300</v>
      </c>
      <c r="G25" s="172">
        <f t="shared" si="2"/>
        <v>-49300</v>
      </c>
    </row>
    <row r="26" spans="1:7" ht="15">
      <c r="A26" s="2"/>
      <c r="B26" s="192">
        <f t="shared" si="0"/>
        <v>15</v>
      </c>
      <c r="C26" s="178" t="s">
        <v>40</v>
      </c>
      <c r="D26" s="180"/>
      <c r="E26" s="180">
        <v>-40000</v>
      </c>
      <c r="F26" s="172">
        <f t="shared" si="2"/>
        <v>-40000</v>
      </c>
      <c r="G26" s="172">
        <f t="shared" si="2"/>
        <v>-40000</v>
      </c>
    </row>
    <row r="27" spans="1:7" ht="15">
      <c r="A27" s="2"/>
      <c r="B27" s="192">
        <f t="shared" si="0"/>
        <v>16</v>
      </c>
      <c r="C27" s="178" t="s">
        <v>41</v>
      </c>
      <c r="D27" s="180"/>
      <c r="E27" s="180">
        <v>25000</v>
      </c>
      <c r="F27" s="172">
        <f t="shared" si="2"/>
        <v>25000</v>
      </c>
      <c r="G27" s="172">
        <f t="shared" si="2"/>
        <v>25000</v>
      </c>
    </row>
    <row r="28" spans="1:7" ht="15">
      <c r="A28" s="2"/>
      <c r="B28" s="192">
        <f t="shared" si="0"/>
        <v>17</v>
      </c>
      <c r="C28" s="178" t="s">
        <v>42</v>
      </c>
      <c r="D28" s="180"/>
      <c r="E28" s="180">
        <v>50000</v>
      </c>
      <c r="F28" s="172">
        <f t="shared" si="2"/>
        <v>50000</v>
      </c>
      <c r="G28" s="172">
        <f t="shared" si="2"/>
        <v>50000</v>
      </c>
    </row>
    <row r="29" spans="1:7" ht="15">
      <c r="A29" s="2"/>
      <c r="B29" s="192">
        <f t="shared" si="0"/>
        <v>18</v>
      </c>
      <c r="C29" s="178" t="s">
        <v>43</v>
      </c>
      <c r="D29" s="180"/>
      <c r="E29" s="180">
        <v>54750</v>
      </c>
      <c r="F29" s="172">
        <f t="shared" si="2"/>
        <v>54750</v>
      </c>
      <c r="G29" s="172">
        <f t="shared" si="2"/>
        <v>54750</v>
      </c>
    </row>
    <row r="30" spans="1:7" ht="15">
      <c r="A30" s="2"/>
      <c r="B30" s="192">
        <f t="shared" si="0"/>
        <v>19</v>
      </c>
      <c r="C30" s="178" t="s">
        <v>44</v>
      </c>
      <c r="D30" s="180"/>
      <c r="E30" s="180">
        <v>0</v>
      </c>
      <c r="F30" s="172">
        <v>-66210</v>
      </c>
      <c r="G30" s="172">
        <v>-100880</v>
      </c>
    </row>
    <row r="31" spans="1:7" ht="15">
      <c r="A31" s="2"/>
      <c r="B31" s="192">
        <f t="shared" si="0"/>
        <v>20</v>
      </c>
      <c r="C31" s="178" t="s">
        <v>45</v>
      </c>
      <c r="D31" s="180"/>
      <c r="E31" s="180">
        <v>-43560</v>
      </c>
      <c r="F31" s="172">
        <v>-6590</v>
      </c>
      <c r="G31" s="172">
        <v>-17220</v>
      </c>
    </row>
    <row r="32" spans="1:7" ht="15">
      <c r="A32" s="2"/>
      <c r="B32" s="192">
        <f t="shared" si="0"/>
        <v>21</v>
      </c>
      <c r="C32" s="178" t="s">
        <v>46</v>
      </c>
      <c r="D32" s="180"/>
      <c r="E32" s="180">
        <v>-306940</v>
      </c>
      <c r="F32" s="172">
        <v>-314030</v>
      </c>
      <c r="G32" s="172">
        <v>-320720</v>
      </c>
    </row>
    <row r="33" spans="1:12" ht="15">
      <c r="A33" s="2"/>
      <c r="B33" s="192">
        <f t="shared" si="0"/>
        <v>22</v>
      </c>
      <c r="C33" s="178" t="s">
        <v>47</v>
      </c>
      <c r="D33" s="180"/>
      <c r="E33" s="180">
        <f>173190-136970</f>
        <v>36220</v>
      </c>
      <c r="F33" s="172">
        <f>43310-108860+50000</f>
        <v>-15550</v>
      </c>
      <c r="G33" s="172">
        <f>110060-64700+50000</f>
        <v>95360</v>
      </c>
    </row>
    <row r="34" spans="1:12" ht="15">
      <c r="A34" s="2"/>
      <c r="B34" s="192">
        <f>B33+1</f>
        <v>23</v>
      </c>
      <c r="C34" s="178" t="s">
        <v>48</v>
      </c>
      <c r="D34" s="180"/>
      <c r="E34" s="180">
        <v>-227000</v>
      </c>
      <c r="F34" s="172">
        <v>0</v>
      </c>
      <c r="G34" s="172">
        <v>0</v>
      </c>
    </row>
    <row r="35" spans="1:12" ht="15.6">
      <c r="A35" s="2"/>
      <c r="B35" s="192">
        <f>B34+1</f>
        <v>24</v>
      </c>
      <c r="C35" s="170" t="s">
        <v>49</v>
      </c>
      <c r="D35" s="170"/>
      <c r="E35" s="171">
        <f>SUM(E13:E34)</f>
        <v>-564750</v>
      </c>
      <c r="F35" s="187">
        <f>SUM(F13:F34)</f>
        <v>-491520</v>
      </c>
      <c r="G35" s="187">
        <f>SUM(G13:G34)</f>
        <v>-448760</v>
      </c>
    </row>
    <row r="36" spans="1:12">
      <c r="A36" s="2"/>
      <c r="B36" s="192"/>
      <c r="C36" s="133"/>
      <c r="D36" s="133"/>
      <c r="E36" s="196"/>
      <c r="F36" s="197"/>
      <c r="G36" s="197"/>
    </row>
    <row r="37" spans="1:12" ht="13.9" thickBot="1">
      <c r="A37" s="2"/>
      <c r="B37" s="192"/>
      <c r="C37" s="133"/>
      <c r="D37" s="133"/>
      <c r="E37" s="196"/>
      <c r="F37" s="197"/>
      <c r="G37" s="197"/>
      <c r="L37" s="32"/>
    </row>
    <row r="38" spans="1:12" ht="16.149999999999999" thickBot="1">
      <c r="A38" s="2"/>
      <c r="B38" s="18">
        <f>B35+1</f>
        <v>25</v>
      </c>
      <c r="C38" s="19" t="s">
        <v>50</v>
      </c>
      <c r="D38" s="173"/>
      <c r="E38" s="20">
        <f>E9+E35</f>
        <v>18943950</v>
      </c>
      <c r="F38" s="20">
        <f t="shared" ref="F38:G38" si="3">F9+F35</f>
        <v>19823400</v>
      </c>
      <c r="G38" s="20">
        <f t="shared" si="3"/>
        <v>20409350</v>
      </c>
    </row>
    <row r="39" spans="1:12" ht="15.6">
      <c r="A39" s="2"/>
      <c r="B39" s="37"/>
      <c r="C39" s="38"/>
      <c r="D39" s="38"/>
      <c r="E39" s="36"/>
      <c r="F39" s="36"/>
      <c r="G39" s="36"/>
      <c r="H39"/>
    </row>
    <row r="40" spans="1:12" hidden="1">
      <c r="A40" s="2"/>
      <c r="B40" s="2"/>
      <c r="C40" s="2"/>
      <c r="D40" s="2"/>
      <c r="E40" s="2"/>
      <c r="F40" s="2"/>
      <c r="G40" s="2"/>
    </row>
    <row r="41" spans="1:12" hidden="1">
      <c r="A41" s="21"/>
      <c r="B41" s="21"/>
      <c r="C41" s="2"/>
      <c r="D41" s="2"/>
      <c r="E41" s="32"/>
      <c r="F41" s="32"/>
      <c r="G41" s="32"/>
      <c r="H41" s="32"/>
      <c r="L41" s="32"/>
    </row>
    <row r="42" spans="1:12" ht="16.149999999999999" hidden="1" thickTop="1">
      <c r="A42" s="21"/>
      <c r="B42" s="21"/>
      <c r="C42" s="251"/>
      <c r="D42" s="174"/>
      <c r="E42" s="22"/>
      <c r="F42" s="22" t="s">
        <v>3</v>
      </c>
      <c r="G42" s="22" t="s">
        <v>3</v>
      </c>
    </row>
    <row r="43" spans="1:12" ht="15.6" hidden="1">
      <c r="A43" s="21"/>
      <c r="B43" s="21"/>
      <c r="C43" s="252"/>
      <c r="D43" s="175"/>
      <c r="E43" s="23" t="s">
        <v>2</v>
      </c>
      <c r="F43" s="23" t="s">
        <v>2</v>
      </c>
      <c r="G43" s="23" t="s">
        <v>2</v>
      </c>
    </row>
    <row r="44" spans="1:12" ht="15.75" hidden="1" customHeight="1">
      <c r="A44" s="21"/>
      <c r="B44" s="21"/>
      <c r="C44" s="252"/>
      <c r="D44" s="175"/>
      <c r="E44" s="23" t="s">
        <v>6</v>
      </c>
      <c r="F44" s="23" t="str">
        <f>F6</f>
        <v>2027/28</v>
      </c>
      <c r="G44" s="23" t="str">
        <f>G6</f>
        <v>2028/29</v>
      </c>
    </row>
    <row r="45" spans="1:12" ht="16.149999999999999" hidden="1" thickBot="1">
      <c r="A45" s="21"/>
      <c r="B45" s="21"/>
      <c r="C45" s="253"/>
      <c r="D45" s="176"/>
      <c r="E45" s="25" t="s">
        <v>51</v>
      </c>
      <c r="F45" s="25" t="s">
        <v>51</v>
      </c>
      <c r="G45" s="25" t="s">
        <v>51</v>
      </c>
    </row>
    <row r="46" spans="1:12" ht="15" hidden="1">
      <c r="A46" s="21"/>
      <c r="B46" s="21"/>
      <c r="C46" s="26"/>
      <c r="D46" s="177"/>
      <c r="E46" s="27"/>
      <c r="F46" s="27"/>
      <c r="G46" s="27"/>
    </row>
    <row r="47" spans="1:12" ht="15" hidden="1">
      <c r="A47" s="21"/>
      <c r="B47" s="21"/>
      <c r="C47" s="26" t="s">
        <v>52</v>
      </c>
      <c r="D47" s="177"/>
      <c r="E47" s="28">
        <f>E9/1000</f>
        <v>19508.7</v>
      </c>
      <c r="F47" s="28">
        <f>F9/1000</f>
        <v>20314.919999999998</v>
      </c>
      <c r="G47" s="28">
        <f>G9/1000</f>
        <v>20858.11</v>
      </c>
    </row>
    <row r="48" spans="1:12" ht="15" hidden="1" customHeight="1">
      <c r="A48" s="21"/>
      <c r="B48" s="21"/>
      <c r="C48" s="26" t="s">
        <v>53</v>
      </c>
      <c r="D48" s="177"/>
      <c r="E48" s="28" t="e">
        <f>#REF!/1000</f>
        <v>#REF!</v>
      </c>
      <c r="F48" s="28" t="e">
        <f>#REF!/1000</f>
        <v>#REF!</v>
      </c>
      <c r="G48" s="28" t="e">
        <f>#REF!/1000</f>
        <v>#REF!</v>
      </c>
    </row>
    <row r="49" spans="1:7" ht="15" hidden="1">
      <c r="A49" s="21"/>
      <c r="B49" s="21"/>
      <c r="C49" s="26" t="s">
        <v>54</v>
      </c>
      <c r="D49" s="177"/>
      <c r="E49" s="28">
        <f>SUM(E11:E36)/1000</f>
        <v>-1129.5</v>
      </c>
      <c r="F49" s="28">
        <f>SUM(F11:F36)/1000</f>
        <v>-983.04</v>
      </c>
      <c r="G49" s="28">
        <f>SUM(G11:G36)/1000</f>
        <v>-897.52</v>
      </c>
    </row>
    <row r="50" spans="1:7" ht="15" hidden="1">
      <c r="A50" s="21"/>
      <c r="B50" s="21"/>
      <c r="C50" s="26" t="s">
        <v>55</v>
      </c>
      <c r="D50" s="177"/>
      <c r="E50" s="28">
        <f>SUM(E37:E37)/1000</f>
        <v>0</v>
      </c>
      <c r="F50" s="28">
        <f>SUM(F37:F37)/1000</f>
        <v>0</v>
      </c>
      <c r="G50" s="28">
        <f>SUM(G37:G37)/1000</f>
        <v>0</v>
      </c>
    </row>
    <row r="51" spans="1:7" ht="16.149999999999999" hidden="1" thickBot="1">
      <c r="A51" s="21"/>
      <c r="B51" s="21"/>
      <c r="C51" s="24" t="s">
        <v>56</v>
      </c>
      <c r="D51" s="176"/>
      <c r="E51" s="31" t="e">
        <f>SUM(E47:E50)</f>
        <v>#REF!</v>
      </c>
      <c r="F51" s="31" t="e">
        <f>SUM(F47:F50)</f>
        <v>#REF!</v>
      </c>
      <c r="G51" s="31" t="e">
        <f>SUM(G47:G50)</f>
        <v>#REF!</v>
      </c>
    </row>
    <row r="52" spans="1:7" hidden="1">
      <c r="A52" s="21"/>
      <c r="B52" s="21"/>
      <c r="C52" s="2"/>
      <c r="D52" s="2"/>
      <c r="E52" s="2"/>
      <c r="F52" s="2"/>
      <c r="G52" s="2"/>
    </row>
    <row r="53" spans="1:7" hidden="1">
      <c r="A53" s="21"/>
      <c r="B53" s="21"/>
      <c r="C53" s="2"/>
      <c r="D53" s="2"/>
      <c r="E53" s="32"/>
      <c r="F53" s="32"/>
      <c r="G53" s="32"/>
    </row>
    <row r="54" spans="1:7" hidden="1">
      <c r="A54" s="21"/>
      <c r="B54" s="21"/>
      <c r="C54" s="2"/>
      <c r="D54" s="2"/>
      <c r="E54" s="2"/>
      <c r="F54" s="2"/>
      <c r="G54" s="2"/>
    </row>
    <row r="55" spans="1:7" hidden="1">
      <c r="A55" s="21"/>
      <c r="B55" s="21"/>
      <c r="C55" s="2" t="s">
        <v>57</v>
      </c>
      <c r="D55" s="2"/>
      <c r="E55" s="32">
        <f>SUM(E9)</f>
        <v>19508700</v>
      </c>
      <c r="F55" s="2"/>
      <c r="G55" s="2"/>
    </row>
    <row r="56" spans="1:7" hidden="1">
      <c r="A56" s="21"/>
      <c r="B56" s="21"/>
      <c r="C56" s="2" t="s">
        <v>58</v>
      </c>
      <c r="D56" s="2"/>
      <c r="E56" s="32">
        <v>52330</v>
      </c>
      <c r="F56" s="2"/>
      <c r="G56" s="2"/>
    </row>
    <row r="57" spans="1:7" hidden="1">
      <c r="A57" s="21"/>
      <c r="B57" s="21"/>
      <c r="C57" s="2" t="s">
        <v>59</v>
      </c>
      <c r="D57" s="2"/>
      <c r="E57" s="122">
        <f>E55-E56</f>
        <v>19456370</v>
      </c>
      <c r="F57" s="2"/>
      <c r="G57" s="2"/>
    </row>
    <row r="58" spans="1:7" hidden="1">
      <c r="A58" s="21"/>
      <c r="B58" s="21"/>
      <c r="C58" s="2" t="s">
        <v>16</v>
      </c>
      <c r="D58" s="2"/>
      <c r="E58" s="32">
        <f>-1000000-22690-175000-360000-100000-100000-241510+74520+193130-34070-40870</f>
        <v>-1806490</v>
      </c>
      <c r="F58" s="2"/>
      <c r="G58" s="2"/>
    </row>
    <row r="59" spans="1:7" hidden="1">
      <c r="A59" s="21"/>
      <c r="B59" s="21"/>
      <c r="C59" s="2"/>
      <c r="D59" s="2"/>
      <c r="E59" s="122">
        <f>SUM(E57:E58)</f>
        <v>17649880</v>
      </c>
      <c r="F59" s="2"/>
      <c r="G59" s="2"/>
    </row>
    <row r="60" spans="1:7" hidden="1">
      <c r="A60" s="21"/>
      <c r="B60" s="21"/>
      <c r="C60" s="2"/>
      <c r="D60" s="2"/>
      <c r="E60" s="32">
        <f>SUM(E13:E36)</f>
        <v>-1129500</v>
      </c>
      <c r="F60" s="2"/>
      <c r="G60" s="2"/>
    </row>
    <row r="61" spans="1:7" hidden="1">
      <c r="A61" s="21"/>
      <c r="B61" s="21"/>
      <c r="C61" s="2"/>
      <c r="D61" s="2"/>
      <c r="E61" s="122">
        <f>SUM(E59:E60)</f>
        <v>16520380</v>
      </c>
      <c r="F61" s="2"/>
      <c r="G61" s="2"/>
    </row>
    <row r="62" spans="1:7" hidden="1">
      <c r="A62" s="21"/>
      <c r="B62" s="21"/>
      <c r="C62" s="2"/>
      <c r="D62" s="2"/>
      <c r="E62" s="32">
        <v>13888610</v>
      </c>
      <c r="F62" s="2"/>
      <c r="G62" s="2"/>
    </row>
    <row r="63" spans="1:7" hidden="1">
      <c r="A63" s="21"/>
      <c r="B63" s="21"/>
      <c r="C63" s="2"/>
      <c r="D63" s="2"/>
      <c r="E63" s="32">
        <f>E61-E62</f>
        <v>2631770</v>
      </c>
      <c r="F63" s="2"/>
      <c r="G63" s="2"/>
    </row>
    <row r="64" spans="1:7" hidden="1">
      <c r="A64" s="21"/>
      <c r="B64" s="21"/>
      <c r="C64" s="2"/>
      <c r="D64" s="2"/>
      <c r="E64" s="2"/>
      <c r="F64" s="2"/>
      <c r="G64" s="2"/>
    </row>
    <row r="65" spans="1:7" hidden="1">
      <c r="A65" s="21"/>
      <c r="B65" s="21"/>
      <c r="C65" s="2"/>
      <c r="D65" s="2"/>
      <c r="E65" s="2"/>
      <c r="F65" s="2"/>
      <c r="G65" s="2"/>
    </row>
    <row r="66" spans="1:7" hidden="1">
      <c r="A66" s="21"/>
      <c r="B66" s="21"/>
      <c r="C66" s="2"/>
      <c r="D66" s="2"/>
      <c r="E66" s="2"/>
      <c r="F66" s="2"/>
      <c r="G66" s="2"/>
    </row>
    <row r="67" spans="1:7" hidden="1">
      <c r="A67" s="21"/>
      <c r="B67" s="21"/>
      <c r="C67" s="2"/>
      <c r="D67" s="2"/>
      <c r="E67" s="2"/>
      <c r="F67" s="2"/>
      <c r="G67" s="2"/>
    </row>
    <row r="68" spans="1:7" ht="16.149999999999999" hidden="1" thickBot="1">
      <c r="A68" s="21"/>
      <c r="B68" s="21"/>
      <c r="C68" s="133" t="s">
        <v>60</v>
      </c>
      <c r="D68" s="133"/>
      <c r="E68" s="164">
        <v>16024920</v>
      </c>
      <c r="F68" s="164">
        <v>16060700</v>
      </c>
      <c r="G68" s="164">
        <v>16577450</v>
      </c>
    </row>
    <row r="69" spans="1:7">
      <c r="A69" s="21"/>
      <c r="B69" s="21"/>
      <c r="C69" s="2"/>
      <c r="D69" s="2"/>
      <c r="E69" s="2"/>
      <c r="F69" s="2"/>
      <c r="G69" s="2"/>
    </row>
    <row r="70" spans="1:7">
      <c r="A70" s="21"/>
      <c r="B70" s="21"/>
      <c r="C70" s="2"/>
      <c r="D70" s="2"/>
      <c r="E70" s="2"/>
      <c r="F70" s="2"/>
      <c r="G70" s="2"/>
    </row>
    <row r="71" spans="1:7">
      <c r="B71" s="21"/>
      <c r="C71" s="2"/>
      <c r="D71" s="2"/>
      <c r="E71" s="2"/>
      <c r="F71" s="2"/>
      <c r="G71" s="2"/>
    </row>
    <row r="72" spans="1:7">
      <c r="B72" s="21"/>
      <c r="C72" s="2"/>
      <c r="D72" s="2"/>
      <c r="E72" s="2"/>
      <c r="F72" s="2"/>
      <c r="G72" s="2"/>
    </row>
    <row r="73" spans="1:7">
      <c r="B73" s="21"/>
      <c r="C73" s="2"/>
      <c r="D73" s="2"/>
      <c r="E73" s="2"/>
      <c r="F73" s="2"/>
      <c r="G73" s="2"/>
    </row>
    <row r="74" spans="1:7">
      <c r="B74" s="21"/>
      <c r="C74" s="2"/>
      <c r="D74" s="2"/>
      <c r="E74" s="2"/>
      <c r="F74" s="2"/>
      <c r="G74" s="2"/>
    </row>
    <row r="75" spans="1:7">
      <c r="B75" s="21"/>
      <c r="C75" s="2"/>
      <c r="D75" s="2"/>
      <c r="E75" s="2"/>
      <c r="F75" s="2"/>
      <c r="G75" s="2"/>
    </row>
    <row r="76" spans="1:7">
      <c r="B76" s="21"/>
      <c r="C76" s="2"/>
      <c r="D76" s="2"/>
      <c r="E76" s="2"/>
      <c r="F76" s="2"/>
      <c r="G76" s="2"/>
    </row>
    <row r="77" spans="1:7">
      <c r="B77" s="21"/>
      <c r="C77" s="2"/>
      <c r="D77" s="2"/>
      <c r="E77" s="2"/>
      <c r="F77" s="2"/>
      <c r="G77" s="2"/>
    </row>
    <row r="78" spans="1:7">
      <c r="B78" s="21"/>
      <c r="C78" s="2"/>
      <c r="D78" s="2"/>
      <c r="E78" s="2"/>
      <c r="F78" s="2"/>
      <c r="G78" s="2"/>
    </row>
    <row r="79" spans="1:7">
      <c r="B79" s="21"/>
      <c r="C79" s="2"/>
      <c r="D79" s="2"/>
      <c r="E79" s="2"/>
      <c r="F79" s="2"/>
      <c r="G79" s="2"/>
    </row>
    <row r="80" spans="1:7">
      <c r="B80" s="21"/>
      <c r="C80" s="2"/>
      <c r="D80" s="2"/>
      <c r="E80" s="2"/>
      <c r="F80" s="2"/>
      <c r="G80" s="2"/>
    </row>
    <row r="81" spans="2:7">
      <c r="B81" s="21"/>
      <c r="C81" s="2"/>
      <c r="D81" s="2"/>
      <c r="E81" s="2"/>
      <c r="F81" s="2"/>
      <c r="G81" s="2"/>
    </row>
    <row r="82" spans="2:7">
      <c r="B82" s="21"/>
      <c r="C82" s="2"/>
      <c r="D82" s="2"/>
      <c r="E82" s="2"/>
      <c r="F82" s="2"/>
      <c r="G82" s="2"/>
    </row>
    <row r="83" spans="2:7">
      <c r="B83" s="21"/>
      <c r="C83" s="2"/>
      <c r="D83" s="2"/>
      <c r="E83" s="2"/>
      <c r="F83" s="2"/>
      <c r="G83" s="2"/>
    </row>
    <row r="84" spans="2:7">
      <c r="B84" s="21"/>
      <c r="C84" s="2"/>
      <c r="D84" s="2"/>
      <c r="E84" s="2"/>
      <c r="F84" s="2"/>
      <c r="G84" s="2"/>
    </row>
    <row r="85" spans="2:7">
      <c r="B85" s="21"/>
      <c r="C85" s="2"/>
      <c r="D85" s="2"/>
      <c r="E85" s="2"/>
      <c r="F85" s="2"/>
      <c r="G85" s="2"/>
    </row>
    <row r="86" spans="2:7">
      <c r="B86" s="21"/>
      <c r="C86" s="2"/>
      <c r="D86" s="2"/>
      <c r="E86" s="2"/>
      <c r="F86" s="2"/>
      <c r="G86" s="2"/>
    </row>
    <row r="87" spans="2:7">
      <c r="B87" s="21"/>
      <c r="C87" s="2"/>
      <c r="D87" s="2"/>
      <c r="E87" s="2"/>
      <c r="F87" s="2"/>
      <c r="G87" s="2"/>
    </row>
    <row r="88" spans="2:7">
      <c r="B88" s="21"/>
      <c r="C88" s="2"/>
      <c r="D88" s="2"/>
      <c r="E88" s="2"/>
      <c r="F88" s="2"/>
      <c r="G88" s="2"/>
    </row>
    <row r="89" spans="2:7">
      <c r="B89" s="21"/>
      <c r="C89" s="2"/>
      <c r="D89" s="2"/>
      <c r="E89" s="2"/>
      <c r="F89" s="2"/>
      <c r="G89" s="2"/>
    </row>
    <row r="90" spans="2:7">
      <c r="B90" s="21"/>
      <c r="C90" s="2"/>
      <c r="D90" s="2"/>
      <c r="E90" s="2"/>
      <c r="F90" s="2"/>
      <c r="G90" s="2"/>
    </row>
    <row r="91" spans="2:7">
      <c r="B91" s="21"/>
      <c r="C91" s="2"/>
      <c r="D91" s="2"/>
      <c r="E91" s="2"/>
      <c r="F91" s="2"/>
      <c r="G91" s="2"/>
    </row>
    <row r="92" spans="2:7">
      <c r="B92" s="21"/>
      <c r="C92" s="2"/>
      <c r="D92" s="2"/>
      <c r="E92" s="2"/>
      <c r="F92" s="2"/>
      <c r="G92" s="2"/>
    </row>
    <row r="93" spans="2:7">
      <c r="B93" s="21"/>
      <c r="C93" s="2"/>
      <c r="D93" s="2"/>
      <c r="E93" s="2"/>
      <c r="F93" s="2"/>
      <c r="G93" s="2"/>
    </row>
    <row r="94" spans="2:7">
      <c r="B94" s="21"/>
      <c r="C94" s="2"/>
      <c r="D94" s="2"/>
      <c r="E94" s="2"/>
      <c r="F94" s="2"/>
      <c r="G94" s="2"/>
    </row>
    <row r="95" spans="2:7">
      <c r="B95" s="21"/>
      <c r="C95" s="2"/>
      <c r="D95" s="2"/>
      <c r="E95" s="2"/>
      <c r="F95" s="2"/>
      <c r="G95" s="2"/>
    </row>
    <row r="96" spans="2:7">
      <c r="B96" s="21"/>
      <c r="C96" s="2"/>
      <c r="D96" s="2"/>
      <c r="E96" s="2"/>
      <c r="F96" s="2"/>
      <c r="G96" s="2"/>
    </row>
    <row r="97" spans="2:7">
      <c r="B97" s="21"/>
      <c r="C97" s="2"/>
      <c r="D97" s="2"/>
      <c r="E97" s="2"/>
      <c r="F97" s="2"/>
      <c r="G97" s="2"/>
    </row>
    <row r="98" spans="2:7">
      <c r="B98" s="21"/>
      <c r="C98" s="2"/>
      <c r="D98" s="2"/>
      <c r="E98" s="2"/>
      <c r="F98" s="2"/>
      <c r="G98" s="2"/>
    </row>
    <row r="99" spans="2:7">
      <c r="B99" s="21"/>
      <c r="C99" s="2"/>
      <c r="D99" s="2"/>
      <c r="E99" s="2"/>
      <c r="F99" s="2"/>
      <c r="G99" s="2"/>
    </row>
    <row r="100" spans="2:7">
      <c r="B100" s="21"/>
      <c r="C100" s="2"/>
      <c r="D100" s="2"/>
      <c r="E100" s="2"/>
      <c r="F100" s="2"/>
      <c r="G100" s="2"/>
    </row>
    <row r="101" spans="2:7">
      <c r="B101" s="21"/>
      <c r="C101" s="2"/>
      <c r="D101" s="2"/>
      <c r="E101" s="2"/>
      <c r="F101" s="2"/>
      <c r="G101" s="2"/>
    </row>
    <row r="102" spans="2:7">
      <c r="B102" s="21"/>
      <c r="C102" s="2"/>
      <c r="D102" s="2"/>
      <c r="E102" s="2"/>
      <c r="F102" s="2"/>
      <c r="G102" s="2"/>
    </row>
    <row r="103" spans="2:7">
      <c r="B103" s="21"/>
      <c r="C103" s="2"/>
      <c r="D103" s="2"/>
      <c r="E103" s="2"/>
      <c r="F103" s="2"/>
      <c r="G103" s="2"/>
    </row>
    <row r="104" spans="2:7">
      <c r="B104" s="21"/>
      <c r="C104" s="2"/>
      <c r="D104" s="2"/>
      <c r="E104" s="2"/>
      <c r="F104" s="2"/>
      <c r="G104" s="2"/>
    </row>
    <row r="105" spans="2:7">
      <c r="B105" s="21"/>
      <c r="C105" s="2"/>
      <c r="D105" s="2"/>
      <c r="E105" s="2"/>
      <c r="F105" s="2"/>
      <c r="G105" s="2"/>
    </row>
    <row r="106" spans="2:7">
      <c r="B106" s="21"/>
      <c r="C106" s="2"/>
      <c r="D106" s="2"/>
      <c r="E106" s="2"/>
      <c r="F106" s="2"/>
      <c r="G106" s="2"/>
    </row>
    <row r="107" spans="2:7">
      <c r="B107" s="21"/>
      <c r="C107" s="2"/>
      <c r="D107" s="2"/>
      <c r="E107" s="2"/>
      <c r="F107" s="2"/>
      <c r="G107" s="2"/>
    </row>
    <row r="108" spans="2:7">
      <c r="B108" s="21"/>
      <c r="C108" s="2"/>
      <c r="D108" s="2"/>
      <c r="E108" s="2"/>
      <c r="F108" s="2"/>
      <c r="G108" s="2"/>
    </row>
    <row r="109" spans="2:7">
      <c r="B109" s="21"/>
      <c r="C109" s="2"/>
      <c r="D109" s="2"/>
      <c r="E109" s="2"/>
      <c r="F109" s="2"/>
      <c r="G109" s="2"/>
    </row>
    <row r="110" spans="2:7">
      <c r="B110" s="21"/>
      <c r="C110" s="2"/>
      <c r="D110" s="2"/>
      <c r="E110" s="2"/>
      <c r="F110" s="2"/>
      <c r="G110" s="2"/>
    </row>
    <row r="111" spans="2:7">
      <c r="B111" s="21"/>
      <c r="C111" s="2"/>
      <c r="D111" s="2"/>
      <c r="E111" s="2"/>
      <c r="F111" s="2"/>
      <c r="G111" s="2"/>
    </row>
    <row r="112" spans="2:7">
      <c r="B112" s="21"/>
      <c r="C112" s="2"/>
      <c r="D112" s="2"/>
      <c r="E112" s="2"/>
      <c r="F112" s="2"/>
      <c r="G112" s="2"/>
    </row>
  </sheetData>
  <protectedRanges>
    <protectedRange sqref="C17:G33" name="Range1_1"/>
  </protectedRanges>
  <mergeCells count="1">
    <mergeCell ref="C42:C45"/>
  </mergeCells>
  <phoneticPr fontId="2" type="noConversion"/>
  <pageMargins left="0.74803149606299213" right="0.74803149606299213" top="1.0236220472440944" bottom="0.51181102362204722" header="0.51181102362204722" footer="0.51181102362204722"/>
  <pageSetup paperSize="9" scale="74" orientation="portrait" r:id="rId1"/>
  <headerFooter alignWithMargins="0">
    <oddHeader>&amp;R&amp;"Arial,Bold"&amp;20Appendix 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  <pageSetUpPr fitToPage="1"/>
  </sheetPr>
  <dimension ref="B2:K145"/>
  <sheetViews>
    <sheetView view="pageBreakPreview" topLeftCell="A103" zoomScale="75" zoomScaleNormal="100" zoomScaleSheetLayoutView="75" workbookViewId="0">
      <selection activeCell="C130" sqref="C130:C145"/>
    </sheetView>
  </sheetViews>
  <sheetFormatPr defaultRowHeight="13.15"/>
  <cols>
    <col min="1" max="1" width="3" customWidth="1"/>
    <col min="2" max="2" width="5.140625" customWidth="1"/>
    <col min="3" max="3" width="66.85546875" customWidth="1"/>
    <col min="4" max="4" width="13.85546875" hidden="1" customWidth="1"/>
    <col min="5" max="5" width="13.7109375" bestFit="1" customWidth="1"/>
    <col min="6" max="6" width="14.5703125" bestFit="1" customWidth="1"/>
    <col min="7" max="7" width="15" bestFit="1" customWidth="1"/>
    <col min="8" max="8" width="14.5703125" bestFit="1" customWidth="1"/>
    <col min="9" max="9" width="10.28515625" bestFit="1" customWidth="1"/>
  </cols>
  <sheetData>
    <row r="2" spans="2:11" ht="21">
      <c r="B2" s="39" t="s">
        <v>18</v>
      </c>
    </row>
    <row r="3" spans="2:11" ht="21">
      <c r="B3" s="39" t="s">
        <v>61</v>
      </c>
    </row>
    <row r="4" spans="2:11" ht="11.25" customHeight="1">
      <c r="B4" s="39"/>
    </row>
    <row r="5" spans="2:11" ht="21">
      <c r="B5" s="39" t="str">
        <f>"Management Team Proposal"</f>
        <v>Management Team Proposal</v>
      </c>
    </row>
    <row r="6" spans="2:11" ht="13.9" thickBot="1"/>
    <row r="7" spans="2:11">
      <c r="B7" s="40"/>
      <c r="C7" s="41"/>
      <c r="D7" s="40"/>
      <c r="E7" s="96" t="s">
        <v>1</v>
      </c>
      <c r="F7" s="43" t="s">
        <v>1</v>
      </c>
      <c r="G7" s="40" t="s">
        <v>1</v>
      </c>
      <c r="H7" s="40" t="s">
        <v>1</v>
      </c>
    </row>
    <row r="8" spans="2:11">
      <c r="B8" s="44"/>
      <c r="C8" s="45"/>
      <c r="D8" s="44"/>
      <c r="E8" s="198" t="s">
        <v>2</v>
      </c>
      <c r="F8" s="199" t="s">
        <v>2</v>
      </c>
      <c r="G8" s="44" t="s">
        <v>2</v>
      </c>
      <c r="H8" s="44" t="s">
        <v>2</v>
      </c>
    </row>
    <row r="9" spans="2:11">
      <c r="B9" s="44" t="s">
        <v>19</v>
      </c>
      <c r="C9" s="45"/>
      <c r="D9" s="44"/>
      <c r="E9" s="200" t="s">
        <v>7</v>
      </c>
      <c r="F9" s="201" t="s">
        <v>62</v>
      </c>
      <c r="G9" s="44" t="s">
        <v>63</v>
      </c>
      <c r="H9" s="44" t="s">
        <v>64</v>
      </c>
    </row>
    <row r="10" spans="2:11">
      <c r="B10" s="46" t="s">
        <v>23</v>
      </c>
      <c r="C10" s="47"/>
      <c r="D10" s="46" t="s">
        <v>65</v>
      </c>
      <c r="E10" s="202" t="s">
        <v>24</v>
      </c>
      <c r="F10" s="203" t="s">
        <v>24</v>
      </c>
      <c r="G10" s="46" t="s">
        <v>24</v>
      </c>
      <c r="H10" s="46" t="s">
        <v>24</v>
      </c>
    </row>
    <row r="11" spans="2:11" ht="13.9" thickBot="1">
      <c r="B11" s="204"/>
      <c r="C11" s="48"/>
      <c r="D11" s="48"/>
      <c r="E11" s="112"/>
      <c r="F11" s="50"/>
      <c r="G11" s="50"/>
      <c r="H11" s="50"/>
    </row>
    <row r="12" spans="2:11" ht="13.9" thickBot="1">
      <c r="B12" s="205">
        <v>1</v>
      </c>
      <c r="C12" s="51" t="s">
        <v>66</v>
      </c>
      <c r="D12" s="51"/>
      <c r="E12" s="113">
        <f>'App A - Final Firming Up'!E38</f>
        <v>18943950</v>
      </c>
      <c r="F12" s="53">
        <f>'App A - Final Firming Up'!F38</f>
        <v>19823400</v>
      </c>
      <c r="G12" s="53">
        <f>'App A - Final Firming Up'!G38</f>
        <v>20409350</v>
      </c>
      <c r="H12" s="53" t="e">
        <f>'App A - Final Firming Up'!#REF!</f>
        <v>#REF!</v>
      </c>
    </row>
    <row r="13" spans="2:11">
      <c r="B13" s="206"/>
      <c r="C13" s="207"/>
      <c r="D13" s="193"/>
      <c r="E13" s="208"/>
      <c r="F13" s="209"/>
      <c r="G13" s="209"/>
      <c r="H13" s="209"/>
      <c r="K13">
        <v>7481290</v>
      </c>
    </row>
    <row r="14" spans="2:11">
      <c r="B14" s="206"/>
      <c r="C14" s="54" t="s">
        <v>67</v>
      </c>
      <c r="D14" s="15"/>
      <c r="E14" s="208"/>
      <c r="F14" s="209"/>
      <c r="G14" s="209"/>
      <c r="H14" s="209"/>
      <c r="K14" s="59">
        <f>K13+E15</f>
        <v>0</v>
      </c>
    </row>
    <row r="15" spans="2:11">
      <c r="B15" s="206">
        <f>B12+1</f>
        <v>2</v>
      </c>
      <c r="C15" s="207" t="s">
        <v>68</v>
      </c>
      <c r="D15" s="193"/>
      <c r="E15" s="208">
        <v>-7481290</v>
      </c>
      <c r="F15" s="209">
        <v>-6741820</v>
      </c>
      <c r="G15" s="209">
        <v>-6225850</v>
      </c>
      <c r="H15" s="209">
        <v>-5563590</v>
      </c>
      <c r="J15" s="59"/>
      <c r="K15" s="59"/>
    </row>
    <row r="16" spans="2:11">
      <c r="B16" s="206">
        <f>B15+1</f>
        <v>3</v>
      </c>
      <c r="C16" s="207" t="s">
        <v>69</v>
      </c>
      <c r="D16" s="193"/>
      <c r="E16" s="208">
        <v>-150000</v>
      </c>
      <c r="F16" s="209">
        <v>-150000</v>
      </c>
      <c r="G16" s="209">
        <v>-100000</v>
      </c>
      <c r="H16" s="209">
        <v>0</v>
      </c>
    </row>
    <row r="17" spans="2:11" ht="13.9" thickBot="1">
      <c r="B17" s="206">
        <f>B16+1</f>
        <v>4</v>
      </c>
      <c r="C17" s="207" t="s">
        <v>70</v>
      </c>
      <c r="D17" s="193"/>
      <c r="E17" s="208">
        <f>-ROUND(E91*E93,-1)</f>
        <v>-5544860</v>
      </c>
      <c r="F17" s="209">
        <f t="shared" ref="F17:H17" si="0">-ROUND(F91*F93,-1)</f>
        <v>-5655230</v>
      </c>
      <c r="G17" s="209">
        <f t="shared" si="0"/>
        <v>-5767860</v>
      </c>
      <c r="H17" s="209">
        <f t="shared" si="0"/>
        <v>-5882530</v>
      </c>
    </row>
    <row r="18" spans="2:11" ht="12.75" customHeight="1" thickBot="1">
      <c r="B18" s="205">
        <f>B17+1</f>
        <v>5</v>
      </c>
      <c r="C18" s="51" t="s">
        <v>71</v>
      </c>
      <c r="D18" s="51"/>
      <c r="E18" s="113">
        <f>SUM(E12:E17)</f>
        <v>5767800</v>
      </c>
      <c r="F18" s="53">
        <f>SUM(F12:F17)</f>
        <v>7276350</v>
      </c>
      <c r="G18" s="56">
        <f>SUM(G12:G17)</f>
        <v>8315640</v>
      </c>
      <c r="H18" s="56" t="e">
        <f>SUM(H12:H17)</f>
        <v>#REF!</v>
      </c>
    </row>
    <row r="19" spans="2:11" ht="9" customHeight="1">
      <c r="B19" s="206"/>
      <c r="C19" s="207"/>
      <c r="D19" s="193"/>
      <c r="E19" s="208"/>
      <c r="F19" s="209"/>
      <c r="G19" s="210"/>
      <c r="H19" s="210"/>
    </row>
    <row r="20" spans="2:11">
      <c r="B20" s="206"/>
      <c r="C20" s="57" t="s">
        <v>72</v>
      </c>
      <c r="D20" s="207"/>
      <c r="E20" s="208"/>
      <c r="F20" s="209"/>
      <c r="G20" s="210"/>
      <c r="H20" s="210"/>
    </row>
    <row r="21" spans="2:11" ht="6.75" customHeight="1">
      <c r="B21" s="206"/>
      <c r="C21" s="207"/>
      <c r="D21" s="207"/>
      <c r="E21" s="208"/>
      <c r="F21" s="209"/>
      <c r="G21" s="210"/>
      <c r="H21" s="210"/>
    </row>
    <row r="22" spans="2:11" ht="13.5" customHeight="1">
      <c r="B22" s="206">
        <f>B18+1</f>
        <v>6</v>
      </c>
      <c r="C22" t="s">
        <v>73</v>
      </c>
      <c r="D22" s="207"/>
      <c r="E22" s="208">
        <v>-70000</v>
      </c>
      <c r="F22" s="209">
        <f>E22</f>
        <v>-70000</v>
      </c>
      <c r="G22" s="209">
        <f t="shared" ref="G22:H22" si="1">F22</f>
        <v>-70000</v>
      </c>
      <c r="H22" s="209">
        <f t="shared" si="1"/>
        <v>-70000</v>
      </c>
      <c r="J22" s="59"/>
    </row>
    <row r="23" spans="2:11" ht="13.5" customHeight="1">
      <c r="B23" s="206">
        <f t="shared" ref="B23:B41" si="2">B22+1</f>
        <v>7</v>
      </c>
      <c r="C23" t="s">
        <v>74</v>
      </c>
      <c r="D23" s="207"/>
      <c r="E23" s="208">
        <v>-30000</v>
      </c>
      <c r="F23" s="209">
        <f t="shared" ref="F23:H23" si="3">E23</f>
        <v>-30000</v>
      </c>
      <c r="G23" s="209">
        <f t="shared" si="3"/>
        <v>-30000</v>
      </c>
      <c r="H23" s="209">
        <f t="shared" si="3"/>
        <v>-30000</v>
      </c>
      <c r="I23" s="59"/>
      <c r="J23" s="59"/>
      <c r="K23" s="59"/>
    </row>
    <row r="24" spans="2:11" ht="13.5" customHeight="1">
      <c r="B24" s="206">
        <f t="shared" si="2"/>
        <v>8</v>
      </c>
      <c r="C24" t="s">
        <v>75</v>
      </c>
      <c r="D24" s="207"/>
      <c r="E24" s="208">
        <v>-25000</v>
      </c>
      <c r="F24" s="209">
        <f t="shared" ref="F24:H24" si="4">E24</f>
        <v>-25000</v>
      </c>
      <c r="G24" s="209">
        <f t="shared" si="4"/>
        <v>-25000</v>
      </c>
      <c r="H24" s="209">
        <f t="shared" si="4"/>
        <v>-25000</v>
      </c>
      <c r="J24" s="59"/>
      <c r="K24" s="59"/>
    </row>
    <row r="25" spans="2:11" ht="13.5" customHeight="1">
      <c r="B25" s="206">
        <f t="shared" si="2"/>
        <v>9</v>
      </c>
      <c r="C25" t="s">
        <v>76</v>
      </c>
      <c r="D25" s="207"/>
      <c r="E25" s="208">
        <v>-25000</v>
      </c>
      <c r="F25" s="209">
        <f t="shared" ref="F25:H25" si="5">E25</f>
        <v>-25000</v>
      </c>
      <c r="G25" s="209">
        <f t="shared" si="5"/>
        <v>-25000</v>
      </c>
      <c r="H25" s="209">
        <f t="shared" si="5"/>
        <v>-25000</v>
      </c>
      <c r="J25" s="59"/>
      <c r="K25" s="59"/>
    </row>
    <row r="26" spans="2:11" ht="13.5" customHeight="1">
      <c r="B26" s="206">
        <f t="shared" si="2"/>
        <v>10</v>
      </c>
      <c r="C26" t="s">
        <v>77</v>
      </c>
      <c r="D26" s="207"/>
      <c r="E26" s="208">
        <v>-15000</v>
      </c>
      <c r="F26" s="209">
        <f t="shared" ref="F26:H26" si="6">E26</f>
        <v>-15000</v>
      </c>
      <c r="G26" s="209">
        <f t="shared" si="6"/>
        <v>-15000</v>
      </c>
      <c r="H26" s="209">
        <f t="shared" si="6"/>
        <v>-15000</v>
      </c>
      <c r="J26" s="59"/>
      <c r="K26" s="59"/>
    </row>
    <row r="27" spans="2:11" ht="13.5" customHeight="1">
      <c r="B27" s="206">
        <f t="shared" si="2"/>
        <v>11</v>
      </c>
      <c r="C27" t="s">
        <v>78</v>
      </c>
      <c r="D27" s="207"/>
      <c r="E27" s="208">
        <v>-347690</v>
      </c>
      <c r="F27" s="209">
        <f t="shared" ref="F27:H27" si="7">E27</f>
        <v>-347690</v>
      </c>
      <c r="G27" s="209">
        <f t="shared" si="7"/>
        <v>-347690</v>
      </c>
      <c r="H27" s="209">
        <f t="shared" si="7"/>
        <v>-347690</v>
      </c>
      <c r="J27" s="59"/>
      <c r="K27" s="59"/>
    </row>
    <row r="28" spans="2:11" ht="13.5" customHeight="1">
      <c r="B28" s="206">
        <f t="shared" si="2"/>
        <v>12</v>
      </c>
      <c r="C28" t="s">
        <v>79</v>
      </c>
      <c r="D28" s="207"/>
      <c r="E28" s="208">
        <v>-25190</v>
      </c>
      <c r="F28" s="209">
        <f t="shared" ref="F28:H28" si="8">E28</f>
        <v>-25190</v>
      </c>
      <c r="G28" s="209">
        <f t="shared" si="8"/>
        <v>-25190</v>
      </c>
      <c r="H28" s="209">
        <f t="shared" si="8"/>
        <v>-25190</v>
      </c>
      <c r="J28" s="59"/>
      <c r="K28" s="59"/>
    </row>
    <row r="29" spans="2:11" ht="13.5" customHeight="1">
      <c r="B29" s="206">
        <f t="shared" si="2"/>
        <v>13</v>
      </c>
      <c r="C29" t="s">
        <v>80</v>
      </c>
      <c r="D29" s="207"/>
      <c r="E29" s="208">
        <v>-100000</v>
      </c>
      <c r="F29" s="209">
        <f t="shared" ref="F29:H29" si="9">E29</f>
        <v>-100000</v>
      </c>
      <c r="G29" s="209">
        <f t="shared" si="9"/>
        <v>-100000</v>
      </c>
      <c r="H29" s="209">
        <f t="shared" si="9"/>
        <v>-100000</v>
      </c>
      <c r="J29" s="59"/>
      <c r="K29" s="59"/>
    </row>
    <row r="30" spans="2:11" ht="13.5" customHeight="1">
      <c r="B30" s="206">
        <f t="shared" si="2"/>
        <v>14</v>
      </c>
      <c r="C30" t="s">
        <v>81</v>
      </c>
      <c r="D30" s="207"/>
      <c r="E30" s="208">
        <v>-10450</v>
      </c>
      <c r="F30" s="209">
        <f t="shared" ref="F30:H30" si="10">E30</f>
        <v>-10450</v>
      </c>
      <c r="G30" s="209">
        <f t="shared" si="10"/>
        <v>-10450</v>
      </c>
      <c r="H30" s="209">
        <f t="shared" si="10"/>
        <v>-10450</v>
      </c>
      <c r="J30" s="59"/>
      <c r="K30" s="59"/>
    </row>
    <row r="31" spans="2:11" ht="13.5" customHeight="1">
      <c r="B31" s="206">
        <f t="shared" si="2"/>
        <v>15</v>
      </c>
      <c r="C31" t="s">
        <v>82</v>
      </c>
      <c r="D31" s="207"/>
      <c r="E31" s="208">
        <v>-17520</v>
      </c>
      <c r="F31" s="209">
        <f t="shared" ref="F31:H31" si="11">E31</f>
        <v>-17520</v>
      </c>
      <c r="G31" s="209">
        <f t="shared" si="11"/>
        <v>-17520</v>
      </c>
      <c r="H31" s="209">
        <f t="shared" si="11"/>
        <v>-17520</v>
      </c>
      <c r="J31" s="59"/>
      <c r="K31" s="59"/>
    </row>
    <row r="32" spans="2:11" ht="13.5" customHeight="1">
      <c r="B32" s="206">
        <f t="shared" si="2"/>
        <v>16</v>
      </c>
      <c r="C32" t="s">
        <v>83</v>
      </c>
      <c r="D32" s="207"/>
      <c r="E32" s="208">
        <v>-15000</v>
      </c>
      <c r="F32" s="209">
        <f t="shared" ref="F32:H32" si="12">E32</f>
        <v>-15000</v>
      </c>
      <c r="G32" s="209">
        <f t="shared" si="12"/>
        <v>-15000</v>
      </c>
      <c r="H32" s="209">
        <f t="shared" si="12"/>
        <v>-15000</v>
      </c>
      <c r="J32" s="59"/>
      <c r="K32" s="59"/>
    </row>
    <row r="33" spans="2:11" ht="13.5" customHeight="1">
      <c r="B33" s="206">
        <f t="shared" si="2"/>
        <v>17</v>
      </c>
      <c r="C33" t="s">
        <v>84</v>
      </c>
      <c r="D33" s="207"/>
      <c r="E33" s="208">
        <v>-20000</v>
      </c>
      <c r="F33" s="209">
        <f t="shared" ref="F33:H33" si="13">E33</f>
        <v>-20000</v>
      </c>
      <c r="G33" s="209">
        <f t="shared" si="13"/>
        <v>-20000</v>
      </c>
      <c r="H33" s="209">
        <f t="shared" si="13"/>
        <v>-20000</v>
      </c>
      <c r="J33" s="59"/>
      <c r="K33" s="59"/>
    </row>
    <row r="34" spans="2:11" ht="13.5" customHeight="1">
      <c r="B34" s="206">
        <f t="shared" si="2"/>
        <v>18</v>
      </c>
      <c r="C34" t="s">
        <v>85</v>
      </c>
      <c r="D34" s="207"/>
      <c r="E34" s="208">
        <v>-8000</v>
      </c>
      <c r="F34" s="209">
        <f t="shared" ref="F34:H34" si="14">E34</f>
        <v>-8000</v>
      </c>
      <c r="G34" s="209">
        <f t="shared" si="14"/>
        <v>-8000</v>
      </c>
      <c r="H34" s="209">
        <f t="shared" si="14"/>
        <v>-8000</v>
      </c>
      <c r="J34" s="59"/>
      <c r="K34" s="59"/>
    </row>
    <row r="35" spans="2:11" ht="13.5" customHeight="1">
      <c r="B35" s="206">
        <f t="shared" si="2"/>
        <v>19</v>
      </c>
      <c r="C35" t="s">
        <v>86</v>
      </c>
      <c r="D35" s="207"/>
      <c r="E35" s="208">
        <v>-75000</v>
      </c>
      <c r="F35" s="209">
        <f t="shared" ref="F35:H35" si="15">E35</f>
        <v>-75000</v>
      </c>
      <c r="G35" s="209">
        <f t="shared" si="15"/>
        <v>-75000</v>
      </c>
      <c r="H35" s="209">
        <f t="shared" si="15"/>
        <v>-75000</v>
      </c>
      <c r="J35" s="59"/>
      <c r="K35" s="59"/>
    </row>
    <row r="36" spans="2:11" ht="13.5" customHeight="1">
      <c r="B36" s="206">
        <f t="shared" si="2"/>
        <v>20</v>
      </c>
      <c r="C36" t="s">
        <v>87</v>
      </c>
      <c r="D36" s="207"/>
      <c r="E36" s="208">
        <v>-75000</v>
      </c>
      <c r="F36" s="209">
        <f t="shared" ref="F36:H36" si="16">E36</f>
        <v>-75000</v>
      </c>
      <c r="G36" s="209">
        <f t="shared" si="16"/>
        <v>-75000</v>
      </c>
      <c r="H36" s="209">
        <f t="shared" si="16"/>
        <v>-75000</v>
      </c>
      <c r="J36" s="59"/>
      <c r="K36" s="59"/>
    </row>
    <row r="37" spans="2:11" ht="13.5" customHeight="1">
      <c r="B37" s="206">
        <f t="shared" si="2"/>
        <v>21</v>
      </c>
      <c r="C37" t="s">
        <v>88</v>
      </c>
      <c r="D37" s="207"/>
      <c r="E37" s="208">
        <v>-66000</v>
      </c>
      <c r="F37" s="209">
        <f t="shared" ref="F37:H37" si="17">E37</f>
        <v>-66000</v>
      </c>
      <c r="G37" s="209">
        <f t="shared" si="17"/>
        <v>-66000</v>
      </c>
      <c r="H37" s="209">
        <f t="shared" si="17"/>
        <v>-66000</v>
      </c>
      <c r="J37" s="59"/>
      <c r="K37" s="59"/>
    </row>
    <row r="38" spans="2:11" ht="13.5" customHeight="1">
      <c r="B38" s="206">
        <f t="shared" si="2"/>
        <v>22</v>
      </c>
      <c r="C38" t="s">
        <v>89</v>
      </c>
      <c r="D38" s="207"/>
      <c r="E38" s="208">
        <v>-8000</v>
      </c>
      <c r="F38" s="209">
        <f t="shared" ref="F38:H38" si="18">E38</f>
        <v>-8000</v>
      </c>
      <c r="G38" s="209">
        <f t="shared" si="18"/>
        <v>-8000</v>
      </c>
      <c r="H38" s="209">
        <f t="shared" si="18"/>
        <v>-8000</v>
      </c>
      <c r="J38" s="59"/>
      <c r="K38" s="59"/>
    </row>
    <row r="39" spans="2:11" ht="13.5" customHeight="1">
      <c r="B39" s="206">
        <f t="shared" si="2"/>
        <v>23</v>
      </c>
      <c r="C39" t="s">
        <v>90</v>
      </c>
      <c r="D39" s="207"/>
      <c r="E39" s="208">
        <v>-10000</v>
      </c>
      <c r="F39" s="209">
        <f t="shared" ref="F39:H39" si="19">E39</f>
        <v>-10000</v>
      </c>
      <c r="G39" s="209">
        <f t="shared" si="19"/>
        <v>-10000</v>
      </c>
      <c r="H39" s="209">
        <f t="shared" si="19"/>
        <v>-10000</v>
      </c>
      <c r="J39" s="59"/>
      <c r="K39" s="59"/>
    </row>
    <row r="40" spans="2:11" ht="13.5" customHeight="1">
      <c r="B40" s="206">
        <f t="shared" si="2"/>
        <v>24</v>
      </c>
      <c r="C40" t="s">
        <v>91</v>
      </c>
      <c r="D40" s="207"/>
      <c r="E40" s="208">
        <v>-30800</v>
      </c>
      <c r="F40" s="209">
        <f t="shared" ref="F40:H40" si="20">E40</f>
        <v>-30800</v>
      </c>
      <c r="G40" s="209">
        <f t="shared" si="20"/>
        <v>-30800</v>
      </c>
      <c r="H40" s="209">
        <f t="shared" si="20"/>
        <v>-30800</v>
      </c>
      <c r="J40" s="59"/>
      <c r="K40" s="59"/>
    </row>
    <row r="41" spans="2:11" ht="13.5" customHeight="1">
      <c r="B41" s="206">
        <f t="shared" si="2"/>
        <v>25</v>
      </c>
      <c r="C41" t="s">
        <v>92</v>
      </c>
      <c r="D41" s="207"/>
      <c r="E41" s="208">
        <v>-10000</v>
      </c>
      <c r="F41" s="209">
        <f t="shared" ref="F41:H41" si="21">E41</f>
        <v>-10000</v>
      </c>
      <c r="G41" s="209">
        <f t="shared" si="21"/>
        <v>-10000</v>
      </c>
      <c r="H41" s="209">
        <f t="shared" si="21"/>
        <v>-10000</v>
      </c>
      <c r="J41" s="59"/>
      <c r="K41" s="59"/>
    </row>
    <row r="42" spans="2:11" ht="13.5" customHeight="1">
      <c r="B42" s="206">
        <f>B41+1</f>
        <v>26</v>
      </c>
      <c r="C42" t="s">
        <v>93</v>
      </c>
      <c r="D42" s="207"/>
      <c r="E42" s="208">
        <v>-5000</v>
      </c>
      <c r="F42" s="209">
        <f t="shared" ref="F42:H42" si="22">E42</f>
        <v>-5000</v>
      </c>
      <c r="G42" s="209">
        <f t="shared" si="22"/>
        <v>-5000</v>
      </c>
      <c r="H42" s="209">
        <f t="shared" si="22"/>
        <v>-5000</v>
      </c>
      <c r="J42" s="59"/>
      <c r="K42" s="59"/>
    </row>
    <row r="43" spans="2:11" ht="13.5" customHeight="1">
      <c r="B43" s="206">
        <f t="shared" ref="B43:B47" si="23">B42+1</f>
        <v>27</v>
      </c>
      <c r="C43" t="s">
        <v>94</v>
      </c>
      <c r="D43" s="207"/>
      <c r="E43" s="208">
        <v>-25000</v>
      </c>
      <c r="F43" s="209">
        <f t="shared" ref="F43:H43" si="24">E43</f>
        <v>-25000</v>
      </c>
      <c r="G43" s="209">
        <f t="shared" si="24"/>
        <v>-25000</v>
      </c>
      <c r="H43" s="209">
        <f t="shared" si="24"/>
        <v>-25000</v>
      </c>
      <c r="J43" s="59"/>
      <c r="K43" s="59"/>
    </row>
    <row r="44" spans="2:11" ht="13.5" customHeight="1">
      <c r="B44" s="206">
        <f t="shared" si="23"/>
        <v>28</v>
      </c>
      <c r="C44" t="s">
        <v>95</v>
      </c>
      <c r="D44" s="207"/>
      <c r="E44" s="208">
        <v>-40000</v>
      </c>
      <c r="F44" s="209">
        <f t="shared" ref="F44:H44" si="25">E44</f>
        <v>-40000</v>
      </c>
      <c r="G44" s="209">
        <f t="shared" si="25"/>
        <v>-40000</v>
      </c>
      <c r="H44" s="209">
        <f t="shared" si="25"/>
        <v>-40000</v>
      </c>
      <c r="J44" s="59"/>
      <c r="K44" s="59"/>
    </row>
    <row r="45" spans="2:11" ht="13.5" customHeight="1">
      <c r="B45" s="206">
        <f t="shared" si="23"/>
        <v>29</v>
      </c>
      <c r="C45" t="s">
        <v>96</v>
      </c>
      <c r="D45" s="207"/>
      <c r="E45" s="208">
        <v>-4500</v>
      </c>
      <c r="F45" s="209">
        <f t="shared" ref="F45:H45" si="26">E45</f>
        <v>-4500</v>
      </c>
      <c r="G45" s="209">
        <f t="shared" si="26"/>
        <v>-4500</v>
      </c>
      <c r="H45" s="209">
        <f t="shared" si="26"/>
        <v>-4500</v>
      </c>
      <c r="J45" s="59"/>
      <c r="K45" s="59"/>
    </row>
    <row r="46" spans="2:11" ht="13.5" customHeight="1">
      <c r="B46" s="206">
        <f t="shared" si="23"/>
        <v>30</v>
      </c>
      <c r="D46" s="207"/>
      <c r="E46" s="208"/>
      <c r="F46" s="209"/>
      <c r="G46" s="209"/>
      <c r="H46" s="209"/>
      <c r="J46" s="59"/>
    </row>
    <row r="47" spans="2:11" ht="13.5" customHeight="1">
      <c r="B47" s="206">
        <f t="shared" si="23"/>
        <v>31</v>
      </c>
      <c r="D47" s="207"/>
      <c r="E47" s="208"/>
      <c r="F47" s="209"/>
      <c r="G47" s="209"/>
      <c r="H47" s="209"/>
      <c r="J47" s="59"/>
    </row>
    <row r="48" spans="2:11" ht="13.5" customHeight="1">
      <c r="B48" s="206"/>
      <c r="C48" s="111"/>
      <c r="D48" s="207"/>
      <c r="E48" s="208"/>
      <c r="F48" s="209"/>
      <c r="G48" s="209"/>
      <c r="H48" s="209"/>
      <c r="J48" s="59"/>
    </row>
    <row r="49" spans="2:8">
      <c r="B49" s="206">
        <f>B47+1</f>
        <v>32</v>
      </c>
      <c r="C49" s="57" t="s">
        <v>97</v>
      </c>
      <c r="D49" s="57"/>
      <c r="E49" s="114">
        <f>SUM(E22:E48)</f>
        <v>-1058150</v>
      </c>
      <c r="F49" s="61">
        <f>SUM(F22:F48)</f>
        <v>-1058150</v>
      </c>
      <c r="G49" s="61">
        <f>SUM(G22:G48)</f>
        <v>-1058150</v>
      </c>
      <c r="H49" s="61">
        <f>SUM(H22:H48)</f>
        <v>-1058150</v>
      </c>
    </row>
    <row r="50" spans="2:8" ht="4.5" customHeight="1">
      <c r="B50" s="206"/>
      <c r="C50" s="57"/>
      <c r="D50" s="57"/>
      <c r="E50" s="115"/>
      <c r="F50" s="83"/>
      <c r="G50" s="83"/>
      <c r="H50" s="83"/>
    </row>
    <row r="51" spans="2:8" ht="4.5" customHeight="1">
      <c r="B51" s="206"/>
      <c r="C51" s="207"/>
      <c r="D51" s="207"/>
      <c r="E51" s="208"/>
      <c r="F51" s="209"/>
      <c r="G51" s="210"/>
      <c r="H51" s="210"/>
    </row>
    <row r="52" spans="2:8">
      <c r="B52" s="206">
        <f>B49+1</f>
        <v>33</v>
      </c>
      <c r="C52" s="58" t="s">
        <v>16</v>
      </c>
      <c r="D52" s="207"/>
      <c r="E52" s="211">
        <v>-1863600</v>
      </c>
      <c r="F52" s="212">
        <v>-1502080</v>
      </c>
      <c r="G52" s="213">
        <v>-1430250</v>
      </c>
      <c r="H52" s="213">
        <f>H89</f>
        <v>-1000000</v>
      </c>
    </row>
    <row r="53" spans="2:8">
      <c r="B53" s="206"/>
      <c r="C53" s="58"/>
      <c r="D53" s="207"/>
      <c r="E53" s="211"/>
      <c r="F53" s="212"/>
      <c r="G53" s="213"/>
      <c r="H53" s="213"/>
    </row>
    <row r="54" spans="2:8">
      <c r="B54" s="206">
        <f>B52+1</f>
        <v>34</v>
      </c>
      <c r="C54" s="58" t="s">
        <v>98</v>
      </c>
      <c r="D54" s="207"/>
      <c r="E54" s="211">
        <v>0</v>
      </c>
      <c r="F54" s="212">
        <v>0</v>
      </c>
      <c r="G54" s="213">
        <f>-F56</f>
        <v>-4716120</v>
      </c>
      <c r="H54" s="213">
        <f>G54-G56</f>
        <v>-5827240</v>
      </c>
    </row>
    <row r="55" spans="2:8" ht="13.9" thickBot="1">
      <c r="B55" s="206"/>
      <c r="C55" s="58"/>
      <c r="D55" s="207"/>
      <c r="E55" s="211"/>
      <c r="F55" s="212"/>
      <c r="G55" s="213"/>
      <c r="H55" s="213"/>
    </row>
    <row r="56" spans="2:8" ht="12.75" customHeight="1" thickBot="1">
      <c r="B56" s="62">
        <f>B54+1</f>
        <v>35</v>
      </c>
      <c r="C56" s="51" t="s">
        <v>99</v>
      </c>
      <c r="D56" s="51"/>
      <c r="E56" s="113">
        <f>E18+E49+E52</f>
        <v>2846050</v>
      </c>
      <c r="F56" s="113">
        <f>F18+F49+F52</f>
        <v>4716120</v>
      </c>
      <c r="G56" s="113">
        <f>G18+G49+G52+G54</f>
        <v>1111120</v>
      </c>
      <c r="H56" s="113" t="e">
        <f>H18+H49+H52+H54</f>
        <v>#REF!</v>
      </c>
    </row>
    <row r="57" spans="2:8" ht="13.9" thickBot="1"/>
    <row r="58" spans="2:8" ht="13.9" thickBot="1">
      <c r="B58" s="63">
        <f>B56+1</f>
        <v>36</v>
      </c>
      <c r="C58" s="64" t="s">
        <v>100</v>
      </c>
      <c r="D58" s="64"/>
      <c r="E58" s="116">
        <f>E56</f>
        <v>2846050</v>
      </c>
      <c r="F58" s="66">
        <f>E58+F56</f>
        <v>7562170</v>
      </c>
      <c r="G58" s="66">
        <f>F58+G56</f>
        <v>8673290</v>
      </c>
      <c r="H58" s="67" t="e">
        <f>G58+H56</f>
        <v>#REF!</v>
      </c>
    </row>
    <row r="59" spans="2:8">
      <c r="F59" s="59"/>
    </row>
    <row r="60" spans="2:8" ht="18" hidden="1" thickBot="1">
      <c r="B60" s="254" t="s">
        <v>101</v>
      </c>
      <c r="C60" s="255"/>
      <c r="D60" s="255"/>
      <c r="E60" s="255"/>
      <c r="F60" s="255"/>
      <c r="G60" s="255"/>
      <c r="H60" s="256"/>
    </row>
    <row r="61" spans="2:8" hidden="1">
      <c r="B61" s="87"/>
      <c r="C61" s="88"/>
      <c r="D61" s="88"/>
      <c r="E61" s="214"/>
      <c r="F61" s="215"/>
      <c r="G61" s="215"/>
      <c r="H61" s="216"/>
    </row>
    <row r="62" spans="2:8" hidden="1">
      <c r="B62" s="68"/>
      <c r="C62" s="165" t="s">
        <v>102</v>
      </c>
      <c r="E62" s="217"/>
      <c r="F62" s="217"/>
      <c r="G62" s="217"/>
      <c r="H62" s="218"/>
    </row>
    <row r="63" spans="2:8" hidden="1">
      <c r="B63" s="219"/>
      <c r="C63" s="165" t="s">
        <v>103</v>
      </c>
      <c r="D63" s="220"/>
      <c r="E63" s="217"/>
      <c r="F63" s="217"/>
      <c r="G63" s="217"/>
      <c r="H63" s="218"/>
    </row>
    <row r="64" spans="2:8" hidden="1">
      <c r="B64" s="219"/>
      <c r="C64" s="165" t="s">
        <v>104</v>
      </c>
      <c r="D64" s="220"/>
      <c r="E64" s="217"/>
      <c r="F64" s="217"/>
      <c r="G64" s="217"/>
      <c r="H64" s="218"/>
    </row>
    <row r="65" spans="2:8" hidden="1"/>
    <row r="66" spans="2:8" hidden="1">
      <c r="B66" s="219"/>
      <c r="C66" s="165" t="s">
        <v>105</v>
      </c>
      <c r="D66" s="220"/>
      <c r="E66" s="217">
        <f>-65000-225400</f>
        <v>-290400</v>
      </c>
      <c r="F66" s="217">
        <v>-112700</v>
      </c>
      <c r="G66" s="217">
        <v>0</v>
      </c>
      <c r="H66" s="218"/>
    </row>
    <row r="67" spans="2:8" hidden="1">
      <c r="B67" s="219"/>
      <c r="C67" s="165" t="s">
        <v>106</v>
      </c>
      <c r="D67" s="220"/>
      <c r="E67" s="217">
        <v>-22690</v>
      </c>
      <c r="F67" s="217">
        <v>-21640</v>
      </c>
      <c r="G67" s="217">
        <v>-22120</v>
      </c>
      <c r="H67" s="218"/>
    </row>
    <row r="68" spans="2:8" hidden="1">
      <c r="B68" s="219"/>
      <c r="C68" s="165" t="s">
        <v>107</v>
      </c>
      <c r="D68" s="220"/>
      <c r="E68" s="217">
        <v>-241510</v>
      </c>
      <c r="F68" s="217"/>
      <c r="G68" s="217"/>
      <c r="H68" s="218"/>
    </row>
    <row r="69" spans="2:8" hidden="1">
      <c r="B69" s="219"/>
      <c r="C69" s="165" t="s">
        <v>108</v>
      </c>
      <c r="D69" s="220"/>
      <c r="E69" s="217"/>
      <c r="F69" s="217"/>
      <c r="G69" s="217"/>
      <c r="H69" s="218"/>
    </row>
    <row r="70" spans="2:8" hidden="1">
      <c r="B70" s="219"/>
      <c r="C70" s="165" t="s">
        <v>109</v>
      </c>
      <c r="D70" s="220"/>
      <c r="E70" s="217"/>
      <c r="F70" s="217"/>
      <c r="G70" s="217"/>
      <c r="H70" s="218"/>
    </row>
    <row r="71" spans="2:8" hidden="1">
      <c r="B71" s="219"/>
      <c r="C71" s="165" t="s">
        <v>110</v>
      </c>
      <c r="D71" s="220"/>
      <c r="E71" s="217">
        <v>-175000</v>
      </c>
      <c r="F71" s="217">
        <v>-75000</v>
      </c>
      <c r="G71" s="217">
        <v>-75000</v>
      </c>
      <c r="H71" s="218"/>
    </row>
    <row r="72" spans="2:8" hidden="1">
      <c r="B72" s="219"/>
      <c r="C72" s="165" t="s">
        <v>111</v>
      </c>
      <c r="D72" s="220"/>
      <c r="E72" s="217"/>
      <c r="F72" s="217"/>
      <c r="G72" s="217"/>
      <c r="H72" s="218"/>
    </row>
    <row r="73" spans="2:8" hidden="1">
      <c r="B73" s="219"/>
      <c r="C73" s="165" t="s">
        <v>112</v>
      </c>
      <c r="D73" s="220"/>
      <c r="E73" s="217">
        <v>-100000</v>
      </c>
      <c r="F73" s="217">
        <v>-100000</v>
      </c>
      <c r="G73" s="217">
        <v>-100000</v>
      </c>
      <c r="H73" s="218"/>
    </row>
    <row r="74" spans="2:8" hidden="1">
      <c r="B74" s="219"/>
      <c r="C74" s="165" t="s">
        <v>113</v>
      </c>
      <c r="D74" s="220"/>
      <c r="E74" s="220">
        <v>74520</v>
      </c>
      <c r="F74" s="221"/>
      <c r="G74" s="221"/>
      <c r="H74" s="218"/>
    </row>
    <row r="75" spans="2:8" hidden="1">
      <c r="B75" s="219"/>
      <c r="C75" s="165" t="s">
        <v>114</v>
      </c>
      <c r="D75" s="220"/>
      <c r="E75" s="220">
        <v>193130</v>
      </c>
      <c r="F75" s="221">
        <v>193130</v>
      </c>
      <c r="G75" s="221">
        <v>193130</v>
      </c>
      <c r="H75" s="218"/>
    </row>
    <row r="76" spans="2:8" hidden="1">
      <c r="B76" s="219"/>
      <c r="C76" s="165" t="s">
        <v>115</v>
      </c>
      <c r="D76" s="220"/>
      <c r="E76" s="217">
        <v>-100000</v>
      </c>
      <c r="F76" s="217"/>
      <c r="G76" s="217"/>
      <c r="H76" s="218"/>
    </row>
    <row r="77" spans="2:8" hidden="1">
      <c r="B77" s="219"/>
      <c r="C77" s="222" t="s">
        <v>116</v>
      </c>
      <c r="D77" s="220"/>
      <c r="E77" s="220">
        <v>-74940</v>
      </c>
      <c r="F77" s="221"/>
      <c r="G77" s="221"/>
      <c r="H77" s="218"/>
    </row>
    <row r="78" spans="2:8" hidden="1">
      <c r="B78" s="219"/>
      <c r="C78" s="222"/>
      <c r="D78" s="220"/>
      <c r="E78" s="220"/>
      <c r="F78" s="221"/>
      <c r="G78" s="221"/>
      <c r="H78" s="218"/>
    </row>
    <row r="79" spans="2:8" hidden="1">
      <c r="B79" s="219"/>
      <c r="C79" s="69"/>
      <c r="D79" s="220"/>
      <c r="E79" s="220"/>
      <c r="F79" s="221"/>
      <c r="G79" s="221"/>
      <c r="H79" s="218"/>
    </row>
    <row r="80" spans="2:8" hidden="1">
      <c r="B80" s="219"/>
      <c r="C80" s="69"/>
      <c r="D80" s="223"/>
      <c r="E80" s="220"/>
      <c r="F80" s="221"/>
      <c r="G80" s="221"/>
      <c r="H80" s="218"/>
    </row>
    <row r="81" spans="2:8" hidden="1">
      <c r="B81" s="219"/>
      <c r="C81" s="69" t="s">
        <v>117</v>
      </c>
      <c r="D81" s="48"/>
      <c r="E81" s="224">
        <f>SUM(E62:E80)</f>
        <v>-736890</v>
      </c>
      <c r="F81" s="224">
        <f>SUM(F62:F80)</f>
        <v>-116210</v>
      </c>
      <c r="G81" s="224">
        <f>SUM(G62:G80)</f>
        <v>-3990</v>
      </c>
      <c r="H81" s="224">
        <f>SUM(H62:H80)</f>
        <v>0</v>
      </c>
    </row>
    <row r="82" spans="2:8" hidden="1">
      <c r="B82" s="68"/>
      <c r="E82" s="220"/>
      <c r="F82" s="221"/>
      <c r="G82" s="221"/>
      <c r="H82" s="225"/>
    </row>
    <row r="83" spans="2:8" hidden="1">
      <c r="B83" s="68"/>
      <c r="C83" s="69" t="s">
        <v>118</v>
      </c>
      <c r="E83" s="217">
        <v>-1000000</v>
      </c>
      <c r="F83" s="217">
        <v>-1500000</v>
      </c>
      <c r="G83" s="217">
        <v>-1500000</v>
      </c>
      <c r="H83" s="217">
        <v>-1000000</v>
      </c>
    </row>
    <row r="84" spans="2:8" hidden="1">
      <c r="B84" s="68"/>
      <c r="C84" s="69"/>
      <c r="E84" s="220">
        <v>205590</v>
      </c>
      <c r="F84" s="221"/>
      <c r="G84" s="221"/>
      <c r="H84" s="225"/>
    </row>
    <row r="85" spans="2:8" hidden="1">
      <c r="B85" s="68"/>
      <c r="C85" s="69" t="s">
        <v>119</v>
      </c>
      <c r="E85" s="220">
        <v>-23000</v>
      </c>
      <c r="F85" s="221"/>
      <c r="G85" s="221"/>
      <c r="H85" s="225"/>
    </row>
    <row r="86" spans="2:8" hidden="1">
      <c r="B86" s="68"/>
      <c r="C86" s="69" t="s">
        <v>120</v>
      </c>
      <c r="E86" s="220">
        <v>-27290</v>
      </c>
      <c r="F86" s="221"/>
      <c r="G86" s="221"/>
      <c r="H86" s="225"/>
    </row>
    <row r="87" spans="2:8" hidden="1">
      <c r="B87" s="68"/>
      <c r="E87" s="224">
        <f>SUM(E83:E86)</f>
        <v>-844700</v>
      </c>
      <c r="F87" s="226">
        <f>SUM(F83:F84)</f>
        <v>-1500000</v>
      </c>
      <c r="G87" s="226">
        <f>SUM(G83:G84)</f>
        <v>-1500000</v>
      </c>
      <c r="H87" s="90">
        <f>SUM(H83:H84)</f>
        <v>-1000000</v>
      </c>
    </row>
    <row r="88" spans="2:8" ht="13.9" hidden="1" thickBot="1">
      <c r="B88" s="68"/>
      <c r="E88" s="220"/>
      <c r="F88" s="221"/>
      <c r="G88" s="221"/>
      <c r="H88" s="225"/>
    </row>
    <row r="89" spans="2:8" ht="13.9" hidden="1" thickBot="1">
      <c r="B89" s="70"/>
      <c r="C89" s="71" t="s">
        <v>121</v>
      </c>
      <c r="D89" s="72"/>
      <c r="E89" s="65">
        <f>E81+E87</f>
        <v>-1581590</v>
      </c>
      <c r="F89" s="73">
        <f>F81+F87</f>
        <v>-1616210</v>
      </c>
      <c r="G89" s="73">
        <f>G81+G87</f>
        <v>-1503990</v>
      </c>
      <c r="H89" s="73">
        <f>H81+H87</f>
        <v>-1000000</v>
      </c>
    </row>
    <row r="90" spans="2:8" hidden="1"/>
    <row r="91" spans="2:8">
      <c r="B91" t="s">
        <v>122</v>
      </c>
      <c r="D91">
        <v>22617.3</v>
      </c>
      <c r="E91" s="74">
        <v>22617.3</v>
      </c>
      <c r="F91" s="74">
        <f>E91</f>
        <v>22617.3</v>
      </c>
      <c r="G91" s="74">
        <f>F91</f>
        <v>22617.3</v>
      </c>
      <c r="H91" s="74">
        <f>G91</f>
        <v>22617.3</v>
      </c>
    </row>
    <row r="92" spans="2:8" ht="13.9" thickBot="1">
      <c r="B92" t="s">
        <v>123</v>
      </c>
      <c r="E92" s="75">
        <v>1.9900000000000001E-2</v>
      </c>
      <c r="F92" s="75">
        <v>1.9900000000000001E-2</v>
      </c>
      <c r="G92" s="75">
        <v>1.9900000000000001E-2</v>
      </c>
      <c r="H92" s="75">
        <v>1.9900000000000001E-2</v>
      </c>
    </row>
    <row r="93" spans="2:8" ht="13.9" thickBot="1">
      <c r="B93" s="117" t="s">
        <v>124</v>
      </c>
      <c r="C93" s="118"/>
      <c r="D93" s="132">
        <v>240.38</v>
      </c>
      <c r="E93" s="121">
        <f>ROUND(D93*(1+E92),2)</f>
        <v>245.16</v>
      </c>
      <c r="F93" s="121">
        <f>ROUND(E93*(1+F92),2)</f>
        <v>250.04</v>
      </c>
      <c r="G93" s="121">
        <f>ROUND(F93*(1+G92),2)</f>
        <v>255.02</v>
      </c>
      <c r="H93" s="120">
        <f>ROUND(G93*(1+H92),2)</f>
        <v>260.08999999999997</v>
      </c>
    </row>
    <row r="94" spans="2:8" ht="13.9" thickBot="1"/>
    <row r="95" spans="2:8" ht="13.9" thickBot="1">
      <c r="C95" t="s">
        <v>125</v>
      </c>
      <c r="D95">
        <f>D91*D93</f>
        <v>5436746.574</v>
      </c>
      <c r="E95" s="65">
        <f>E91*E93</f>
        <v>5544857.2680000002</v>
      </c>
      <c r="F95" s="78">
        <f>F91*F93</f>
        <v>5655229.6919999998</v>
      </c>
      <c r="G95" s="78">
        <f>G91*G93</f>
        <v>5767863.8459999999</v>
      </c>
      <c r="H95" s="79">
        <f>H91*H93</f>
        <v>5882533.5569999991</v>
      </c>
    </row>
    <row r="97" spans="2:8">
      <c r="E97" s="59">
        <f>E12+E49+E52</f>
        <v>16022200</v>
      </c>
      <c r="F97" s="59">
        <f>F12+F49+F52</f>
        <v>17263170</v>
      </c>
      <c r="G97" s="59">
        <f>G12+G49+G52</f>
        <v>17920950</v>
      </c>
      <c r="H97" s="59" t="e">
        <f>H12+H49+H52</f>
        <v>#REF!</v>
      </c>
    </row>
    <row r="99" spans="2:8">
      <c r="B99" s="80" t="s">
        <v>126</v>
      </c>
    </row>
    <row r="101" spans="2:8">
      <c r="B101" t="s">
        <v>127</v>
      </c>
      <c r="E101" s="59">
        <f>E12</f>
        <v>18943950</v>
      </c>
      <c r="F101" s="129">
        <f>F12</f>
        <v>19823400</v>
      </c>
      <c r="G101" s="129">
        <f>G12</f>
        <v>20409350</v>
      </c>
      <c r="H101" s="129" t="e">
        <f>H12</f>
        <v>#REF!</v>
      </c>
    </row>
    <row r="102" spans="2:8">
      <c r="B102" t="s">
        <v>128</v>
      </c>
      <c r="E102" s="59">
        <f>E49</f>
        <v>-1058150</v>
      </c>
      <c r="F102" s="129">
        <f>F49</f>
        <v>-1058150</v>
      </c>
      <c r="G102" s="129">
        <f>G49</f>
        <v>-1058150</v>
      </c>
      <c r="H102" s="129">
        <f>H49</f>
        <v>-1058150</v>
      </c>
    </row>
    <row r="103" spans="2:8">
      <c r="B103" t="s">
        <v>129</v>
      </c>
      <c r="E103" s="59"/>
      <c r="F103" s="129">
        <f>-F56</f>
        <v>-4716120</v>
      </c>
      <c r="G103" s="129">
        <f>-G56+F103</f>
        <v>-5827240</v>
      </c>
      <c r="H103" s="129" t="e">
        <f>-H56+G103</f>
        <v>#REF!</v>
      </c>
    </row>
    <row r="104" spans="2:8">
      <c r="B104" t="s">
        <v>130</v>
      </c>
      <c r="E104" s="59"/>
      <c r="F104" s="129"/>
      <c r="G104" s="129"/>
      <c r="H104" s="129"/>
    </row>
    <row r="105" spans="2:8">
      <c r="B105" t="s">
        <v>16</v>
      </c>
      <c r="E105" s="59">
        <f>E52</f>
        <v>-1863600</v>
      </c>
      <c r="F105" s="129">
        <f>F52</f>
        <v>-1502080</v>
      </c>
      <c r="G105" s="129">
        <f>G52</f>
        <v>-1430250</v>
      </c>
      <c r="H105" s="129">
        <f>H52</f>
        <v>-1000000</v>
      </c>
    </row>
    <row r="106" spans="2:8">
      <c r="B106" s="76" t="s">
        <v>131</v>
      </c>
      <c r="C106" s="76"/>
      <c r="D106" s="76"/>
      <c r="E106" s="81">
        <f>SUM(E101:E105)</f>
        <v>16022200</v>
      </c>
      <c r="F106" s="130">
        <f>SUM(F101:F105)</f>
        <v>12547050</v>
      </c>
      <c r="G106" s="130">
        <f>SUM(G101:G105)</f>
        <v>12093710</v>
      </c>
      <c r="H106" s="130" t="e">
        <f>SUM(H101:H105)</f>
        <v>#REF!</v>
      </c>
    </row>
    <row r="107" spans="2:8">
      <c r="B107" t="s">
        <v>132</v>
      </c>
      <c r="E107" s="59">
        <f t="shared" ref="E107:H108" si="27">E15</f>
        <v>-7481290</v>
      </c>
      <c r="F107" s="129">
        <f t="shared" si="27"/>
        <v>-6741820</v>
      </c>
      <c r="G107" s="129">
        <f t="shared" si="27"/>
        <v>-6225850</v>
      </c>
      <c r="H107" s="129">
        <f t="shared" si="27"/>
        <v>-5563590</v>
      </c>
    </row>
    <row r="108" spans="2:8">
      <c r="B108" t="s">
        <v>69</v>
      </c>
      <c r="E108" s="59">
        <f t="shared" si="27"/>
        <v>-150000</v>
      </c>
      <c r="F108" s="129">
        <f t="shared" si="27"/>
        <v>-150000</v>
      </c>
      <c r="G108" s="129">
        <f t="shared" si="27"/>
        <v>-100000</v>
      </c>
      <c r="H108" s="129">
        <f t="shared" si="27"/>
        <v>0</v>
      </c>
    </row>
    <row r="109" spans="2:8">
      <c r="B109" s="76" t="s">
        <v>126</v>
      </c>
      <c r="C109" s="76"/>
      <c r="D109" s="76"/>
      <c r="E109" s="81">
        <f>SUM(E106:E108)</f>
        <v>8390910</v>
      </c>
      <c r="F109" s="130">
        <f>SUM(F106:F108)</f>
        <v>5655230</v>
      </c>
      <c r="G109" s="130">
        <f>SUM(G106:G108)</f>
        <v>5767860</v>
      </c>
      <c r="H109" s="130" t="e">
        <f>SUM(H106:H108)</f>
        <v>#REF!</v>
      </c>
    </row>
    <row r="110" spans="2:8">
      <c r="F110" s="59"/>
    </row>
    <row r="111" spans="2:8">
      <c r="F111" s="59"/>
      <c r="G111" s="59"/>
      <c r="H111" s="59"/>
    </row>
    <row r="114" spans="3:5" ht="13.9" thickBot="1"/>
    <row r="115" spans="3:5" ht="16.149999999999999" thickTop="1">
      <c r="C115" s="251"/>
      <c r="E115" s="22" t="s">
        <v>1</v>
      </c>
    </row>
    <row r="116" spans="3:5" ht="15.6">
      <c r="C116" s="252"/>
      <c r="E116" s="23" t="s">
        <v>2</v>
      </c>
    </row>
    <row r="117" spans="3:5" ht="15.6">
      <c r="C117" s="252"/>
      <c r="E117" s="23" t="s">
        <v>6</v>
      </c>
    </row>
    <row r="118" spans="3:5" ht="16.149999999999999" thickBot="1">
      <c r="C118" s="253"/>
      <c r="E118" s="102">
        <v>0</v>
      </c>
    </row>
    <row r="119" spans="3:5" ht="15.6" thickTop="1">
      <c r="C119" s="26" t="s">
        <v>133</v>
      </c>
      <c r="E119" s="106">
        <f>E12/1000</f>
        <v>18943.95</v>
      </c>
    </row>
    <row r="120" spans="3:5" ht="16.149999999999999" thickBot="1">
      <c r="C120" s="26" t="s">
        <v>134</v>
      </c>
      <c r="E120" s="106">
        <f>SUM(E22:E48)/1000</f>
        <v>-1058.1500000000001</v>
      </c>
    </row>
    <row r="121" spans="3:5" ht="16.899999999999999" thickTop="1" thickBot="1">
      <c r="C121" s="131" t="s">
        <v>15</v>
      </c>
      <c r="E121" s="109">
        <f>SUM(E119:E120)</f>
        <v>17885.8</v>
      </c>
    </row>
    <row r="122" spans="3:5" ht="15.6" thickTop="1">
      <c r="C122" s="26" t="s">
        <v>16</v>
      </c>
      <c r="E122" s="28">
        <f>SUM(E52)/1000</f>
        <v>-1863.6</v>
      </c>
    </row>
    <row r="123" spans="3:5" ht="15">
      <c r="C123" s="26" t="s">
        <v>69</v>
      </c>
      <c r="E123" s="106">
        <f>E16/1000</f>
        <v>-150</v>
      </c>
    </row>
    <row r="124" spans="3:5" ht="15">
      <c r="C124" s="26" t="s">
        <v>135</v>
      </c>
      <c r="E124" s="106">
        <f>SUM(E15)/1000</f>
        <v>-7481.29</v>
      </c>
    </row>
    <row r="125" spans="3:5" ht="16.149999999999999" thickBot="1">
      <c r="C125" s="24" t="s">
        <v>126</v>
      </c>
      <c r="E125" s="31">
        <f>SUM(E121:E124)</f>
        <v>8390.91</v>
      </c>
    </row>
    <row r="126" spans="3:5" ht="13.9" thickTop="1"/>
    <row r="130" spans="3:3">
      <c r="C130" s="165" t="s">
        <v>102</v>
      </c>
    </row>
    <row r="131" spans="3:3">
      <c r="C131" s="165" t="s">
        <v>106</v>
      </c>
    </row>
    <row r="132" spans="3:3">
      <c r="C132" s="165" t="s">
        <v>110</v>
      </c>
    </row>
    <row r="133" spans="3:3">
      <c r="C133" s="165" t="s">
        <v>103</v>
      </c>
    </row>
    <row r="134" spans="3:3">
      <c r="C134" s="165" t="s">
        <v>105</v>
      </c>
    </row>
    <row r="135" spans="3:3">
      <c r="C135" s="165" t="s">
        <v>112</v>
      </c>
    </row>
    <row r="136" spans="3:3">
      <c r="C136" s="165" t="s">
        <v>136</v>
      </c>
    </row>
    <row r="137" spans="3:3">
      <c r="C137" s="165" t="s">
        <v>107</v>
      </c>
    </row>
    <row r="138" spans="3:3">
      <c r="C138" s="165" t="s">
        <v>113</v>
      </c>
    </row>
    <row r="139" spans="3:3">
      <c r="C139" s="165" t="s">
        <v>114</v>
      </c>
    </row>
    <row r="140" spans="3:3">
      <c r="C140" s="165" t="s">
        <v>115</v>
      </c>
    </row>
    <row r="141" spans="3:3">
      <c r="C141" s="165" t="s">
        <v>137</v>
      </c>
    </row>
    <row r="142" spans="3:3">
      <c r="C142" s="165" t="s">
        <v>109</v>
      </c>
    </row>
    <row r="143" spans="3:3">
      <c r="C143" s="165" t="s">
        <v>104</v>
      </c>
    </row>
    <row r="144" spans="3:3">
      <c r="C144" s="165" t="s">
        <v>138</v>
      </c>
    </row>
    <row r="145" spans="3:3">
      <c r="C145" s="166" t="s">
        <v>139</v>
      </c>
    </row>
  </sheetData>
  <mergeCells count="2">
    <mergeCell ref="B60:H60"/>
    <mergeCell ref="C115:C118"/>
  </mergeCells>
  <phoneticPr fontId="2" type="noConversion"/>
  <pageMargins left="0.39370078740157483" right="0.27559055118110237" top="0.82677165354330717" bottom="0.51181102362204722" header="0.31496062992125984" footer="0.51181102362204722"/>
  <pageSetup paperSize="9" scale="74" orientation="portrait" r:id="rId1"/>
  <headerFooter alignWithMargins="0">
    <oddHeader>&amp;R&amp;"Arial,Bold"&amp;22Appendix 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M114"/>
  <sheetViews>
    <sheetView topLeftCell="A40" zoomScaleNormal="100" workbookViewId="0">
      <selection activeCell="G72" sqref="G72:I72"/>
    </sheetView>
  </sheetViews>
  <sheetFormatPr defaultColWidth="9.140625" defaultRowHeight="13.15"/>
  <cols>
    <col min="1" max="1" width="2.42578125" style="136" customWidth="1"/>
    <col min="2" max="2" width="7.7109375" style="136" customWidth="1"/>
    <col min="3" max="3" width="3.5703125" style="137" hidden="1" customWidth="1"/>
    <col min="4" max="4" width="63.42578125" style="136" customWidth="1"/>
    <col min="5" max="5" width="12" style="137" hidden="1" customWidth="1"/>
    <col min="6" max="6" width="36.42578125" style="137" hidden="1" customWidth="1"/>
    <col min="7" max="7" width="12.5703125" style="136" bestFit="1" customWidth="1"/>
    <col min="8" max="8" width="13" style="136" bestFit="1" customWidth="1"/>
    <col min="9" max="9" width="12.85546875" style="136" bestFit="1" customWidth="1"/>
    <col min="10" max="10" width="13" style="136" bestFit="1" customWidth="1"/>
    <col min="11" max="11" width="53.42578125" style="136" hidden="1" customWidth="1"/>
    <col min="12" max="12" width="82.140625" style="136" hidden="1" customWidth="1"/>
    <col min="13" max="13" width="9.140625" style="136" hidden="1" customWidth="1"/>
    <col min="14" max="16384" width="9.140625" style="136"/>
  </cols>
  <sheetData>
    <row r="1" spans="1:13" ht="15.6">
      <c r="A1" s="134" t="s">
        <v>140</v>
      </c>
      <c r="B1" s="134"/>
      <c r="C1" s="135"/>
    </row>
    <row r="2" spans="1:13" ht="15.6">
      <c r="A2" s="134" t="s">
        <v>141</v>
      </c>
      <c r="B2" s="134"/>
      <c r="C2" s="135"/>
    </row>
    <row r="3" spans="1:13" ht="15.6">
      <c r="A3" s="134"/>
      <c r="B3" s="134"/>
      <c r="C3" s="135"/>
    </row>
    <row r="4" spans="1:13">
      <c r="G4" s="138" t="s">
        <v>142</v>
      </c>
      <c r="H4" s="138" t="s">
        <v>142</v>
      </c>
      <c r="I4" s="138" t="s">
        <v>142</v>
      </c>
      <c r="J4" s="138" t="s">
        <v>143</v>
      </c>
      <c r="K4" s="138"/>
    </row>
    <row r="5" spans="1:13">
      <c r="G5" s="138" t="s">
        <v>144</v>
      </c>
      <c r="H5" s="138" t="s">
        <v>144</v>
      </c>
      <c r="I5" s="138" t="s">
        <v>144</v>
      </c>
      <c r="J5" s="138" t="s">
        <v>144</v>
      </c>
      <c r="K5" s="138"/>
    </row>
    <row r="6" spans="1:13">
      <c r="G6" s="138" t="s">
        <v>7</v>
      </c>
      <c r="H6" s="138" t="s">
        <v>62</v>
      </c>
      <c r="I6" s="138" t="s">
        <v>63</v>
      </c>
      <c r="J6" s="138" t="s">
        <v>145</v>
      </c>
      <c r="K6" s="138"/>
    </row>
    <row r="7" spans="1:13">
      <c r="E7" s="137" t="s">
        <v>146</v>
      </c>
      <c r="F7" s="139" t="s">
        <v>147</v>
      </c>
      <c r="G7" s="140" t="s">
        <v>24</v>
      </c>
      <c r="H7" s="140" t="s">
        <v>24</v>
      </c>
      <c r="I7" s="140" t="s">
        <v>24</v>
      </c>
      <c r="J7" s="140" t="s">
        <v>24</v>
      </c>
      <c r="K7" s="139" t="s">
        <v>148</v>
      </c>
      <c r="L7" s="141" t="s">
        <v>149</v>
      </c>
    </row>
    <row r="8" spans="1:13">
      <c r="F8" s="139"/>
      <c r="G8" s="140"/>
      <c r="H8" s="140"/>
      <c r="I8" s="140"/>
      <c r="J8" s="140"/>
      <c r="K8" s="139"/>
      <c r="L8" s="141"/>
    </row>
    <row r="9" spans="1:13">
      <c r="D9" s="142" t="s">
        <v>150</v>
      </c>
      <c r="F9" s="139"/>
      <c r="G9" s="140"/>
      <c r="H9" s="140"/>
      <c r="I9" s="140"/>
      <c r="J9" s="140"/>
      <c r="K9" s="139"/>
      <c r="L9" s="141"/>
    </row>
    <row r="10" spans="1:13">
      <c r="B10" s="136">
        <v>1</v>
      </c>
      <c r="D10" s="136" t="s">
        <v>151</v>
      </c>
      <c r="F10" s="143" t="s">
        <v>152</v>
      </c>
      <c r="G10" s="144">
        <v>0</v>
      </c>
      <c r="H10" s="144">
        <v>150000</v>
      </c>
      <c r="I10" s="144">
        <v>150000</v>
      </c>
      <c r="J10" s="144">
        <f>SUM(G10:I10)</f>
        <v>300000</v>
      </c>
    </row>
    <row r="11" spans="1:13">
      <c r="B11" s="136">
        <f>B10+1</f>
        <v>2</v>
      </c>
      <c r="D11" s="136" t="s">
        <v>153</v>
      </c>
      <c r="F11" s="143" t="s">
        <v>154</v>
      </c>
      <c r="G11" s="144"/>
      <c r="H11" s="144">
        <v>150000</v>
      </c>
      <c r="I11" s="144">
        <v>200000</v>
      </c>
      <c r="J11" s="144">
        <f>SUM(G11:I11)</f>
        <v>350000</v>
      </c>
    </row>
    <row r="12" spans="1:13" ht="15.6">
      <c r="B12" s="134">
        <f>B11+1</f>
        <v>3</v>
      </c>
      <c r="D12" s="134" t="s">
        <v>155</v>
      </c>
      <c r="E12" s="135"/>
      <c r="F12" s="145"/>
      <c r="G12" s="146">
        <f>SUM(G10:G11)</f>
        <v>0</v>
      </c>
      <c r="H12" s="146">
        <f t="shared" ref="H12:J12" si="0">SUM(H10:H11)</f>
        <v>300000</v>
      </c>
      <c r="I12" s="146">
        <f t="shared" si="0"/>
        <v>350000</v>
      </c>
      <c r="J12" s="146">
        <f t="shared" si="0"/>
        <v>650000</v>
      </c>
      <c r="K12" s="139"/>
      <c r="L12" s="141"/>
    </row>
    <row r="13" spans="1:13">
      <c r="F13" s="139"/>
      <c r="G13" s="140"/>
      <c r="H13" s="140"/>
      <c r="I13" s="140"/>
      <c r="J13" s="140"/>
      <c r="K13" s="139"/>
      <c r="L13" s="141"/>
    </row>
    <row r="14" spans="1:13">
      <c r="D14" s="142" t="s">
        <v>156</v>
      </c>
      <c r="G14" s="144"/>
      <c r="H14" s="144"/>
      <c r="I14" s="144"/>
      <c r="J14" s="144"/>
      <c r="K14" s="144"/>
      <c r="L14" s="144"/>
    </row>
    <row r="15" spans="1:13">
      <c r="B15" s="136" t="s">
        <v>157</v>
      </c>
      <c r="C15" s="137">
        <v>4</v>
      </c>
      <c r="D15" s="136" t="s">
        <v>73</v>
      </c>
      <c r="E15" s="137" t="s">
        <v>158</v>
      </c>
      <c r="F15" s="136" t="s">
        <v>159</v>
      </c>
      <c r="G15" s="144">
        <v>70000</v>
      </c>
      <c r="H15" s="144">
        <v>0</v>
      </c>
      <c r="I15" s="144">
        <v>0</v>
      </c>
      <c r="J15" s="144">
        <f t="shared" ref="J15:J21" si="1">SUM(G15:I15)</f>
        <v>70000</v>
      </c>
      <c r="K15" s="144" t="s">
        <v>160</v>
      </c>
      <c r="L15" s="136" t="s">
        <v>161</v>
      </c>
      <c r="M15" s="136">
        <v>40</v>
      </c>
    </row>
    <row r="16" spans="1:13">
      <c r="B16" s="136" t="s">
        <v>162</v>
      </c>
      <c r="C16" s="137">
        <v>4</v>
      </c>
      <c r="D16" s="136" t="s">
        <v>74</v>
      </c>
      <c r="E16" s="137" t="s">
        <v>163</v>
      </c>
      <c r="F16" s="136" t="s">
        <v>159</v>
      </c>
      <c r="G16" s="144">
        <v>30000</v>
      </c>
      <c r="H16" s="144">
        <v>0</v>
      </c>
      <c r="I16" s="144">
        <v>0</v>
      </c>
      <c r="J16" s="144">
        <f t="shared" si="1"/>
        <v>30000</v>
      </c>
      <c r="K16" s="144" t="s">
        <v>160</v>
      </c>
      <c r="L16" s="136" t="s">
        <v>164</v>
      </c>
    </row>
    <row r="17" spans="2:13">
      <c r="B17" s="136" t="s">
        <v>165</v>
      </c>
      <c r="D17" s="136" t="s">
        <v>75</v>
      </c>
      <c r="F17" s="143" t="s">
        <v>166</v>
      </c>
      <c r="G17" s="144">
        <v>25000</v>
      </c>
      <c r="H17" s="144">
        <v>0</v>
      </c>
      <c r="I17" s="144">
        <v>0</v>
      </c>
      <c r="J17" s="144">
        <f t="shared" si="1"/>
        <v>25000</v>
      </c>
      <c r="K17" s="144"/>
    </row>
    <row r="18" spans="2:13">
      <c r="B18" s="136" t="s">
        <v>167</v>
      </c>
      <c r="D18" s="136" t="s">
        <v>168</v>
      </c>
      <c r="E18" s="137" t="s">
        <v>165</v>
      </c>
      <c r="F18" s="143" t="s">
        <v>159</v>
      </c>
      <c r="G18" s="144">
        <v>0</v>
      </c>
      <c r="H18" s="144">
        <v>30000</v>
      </c>
      <c r="I18" s="144">
        <v>30000</v>
      </c>
      <c r="J18" s="144">
        <f t="shared" si="1"/>
        <v>60000</v>
      </c>
      <c r="K18" s="144"/>
    </row>
    <row r="19" spans="2:13">
      <c r="B19" s="136" t="s">
        <v>165</v>
      </c>
      <c r="D19" s="136" t="s">
        <v>31</v>
      </c>
      <c r="F19" s="136"/>
      <c r="G19" s="144">
        <v>0</v>
      </c>
      <c r="H19" s="144">
        <v>20000</v>
      </c>
      <c r="I19" s="144">
        <v>25000</v>
      </c>
      <c r="J19" s="144">
        <f t="shared" si="1"/>
        <v>45000</v>
      </c>
      <c r="K19" s="144"/>
    </row>
    <row r="20" spans="2:13">
      <c r="B20" s="136" t="s">
        <v>169</v>
      </c>
      <c r="D20" s="136" t="s">
        <v>170</v>
      </c>
      <c r="F20" s="136" t="s">
        <v>159</v>
      </c>
      <c r="G20" s="144">
        <v>0</v>
      </c>
      <c r="H20" s="144">
        <v>42000</v>
      </c>
      <c r="I20" s="144">
        <v>0</v>
      </c>
      <c r="J20" s="144">
        <f t="shared" si="1"/>
        <v>42000</v>
      </c>
      <c r="K20" s="144"/>
    </row>
    <row r="21" spans="2:13">
      <c r="B21" s="136" t="s">
        <v>165</v>
      </c>
      <c r="C21" s="137">
        <v>6</v>
      </c>
      <c r="D21" s="136" t="s">
        <v>171</v>
      </c>
      <c r="E21" s="137" t="s">
        <v>165</v>
      </c>
      <c r="F21" s="143" t="s">
        <v>166</v>
      </c>
      <c r="G21" s="144">
        <v>0</v>
      </c>
      <c r="H21" s="144">
        <v>70000</v>
      </c>
      <c r="I21" s="144">
        <v>0</v>
      </c>
      <c r="J21" s="144">
        <f t="shared" si="1"/>
        <v>70000</v>
      </c>
      <c r="K21" s="144" t="s">
        <v>172</v>
      </c>
      <c r="L21" s="144"/>
      <c r="M21" s="136">
        <v>50</v>
      </c>
    </row>
    <row r="22" spans="2:13" ht="15.6">
      <c r="B22" s="134"/>
      <c r="D22" s="134" t="s">
        <v>173</v>
      </c>
      <c r="E22" s="135"/>
      <c r="F22" s="145"/>
      <c r="G22" s="146">
        <f>SUM(G15:G21)</f>
        <v>125000</v>
      </c>
      <c r="H22" s="146">
        <f>SUM(H15:H21)</f>
        <v>162000</v>
      </c>
      <c r="I22" s="146">
        <f>SUM(I15:I21)</f>
        <v>55000</v>
      </c>
      <c r="J22" s="146">
        <f>SUM(J15:J21)</f>
        <v>342000</v>
      </c>
      <c r="K22" s="144"/>
      <c r="L22" s="144"/>
    </row>
    <row r="23" spans="2:13">
      <c r="F23" s="136"/>
      <c r="G23" s="144"/>
      <c r="H23" s="144"/>
      <c r="I23" s="144"/>
      <c r="J23" s="144"/>
      <c r="K23" s="144"/>
      <c r="L23" s="144"/>
    </row>
    <row r="24" spans="2:13">
      <c r="D24" s="142" t="s">
        <v>174</v>
      </c>
      <c r="G24" s="140"/>
      <c r="H24" s="140"/>
      <c r="I24" s="140"/>
      <c r="J24" s="140"/>
      <c r="K24" s="140"/>
      <c r="L24" s="141"/>
    </row>
    <row r="25" spans="2:13">
      <c r="D25" s="142" t="s">
        <v>175</v>
      </c>
      <c r="G25" s="140"/>
      <c r="H25" s="140"/>
      <c r="I25" s="140"/>
      <c r="J25" s="140"/>
      <c r="K25" s="140"/>
      <c r="L25" s="141"/>
    </row>
    <row r="26" spans="2:13">
      <c r="B26" s="136" t="s">
        <v>176</v>
      </c>
      <c r="C26" s="137">
        <v>6</v>
      </c>
      <c r="D26" s="136" t="s">
        <v>76</v>
      </c>
      <c r="E26" s="137" t="s">
        <v>165</v>
      </c>
      <c r="F26" s="143" t="s">
        <v>175</v>
      </c>
      <c r="G26" s="144">
        <v>25000</v>
      </c>
      <c r="H26" s="144">
        <v>0</v>
      </c>
      <c r="I26" s="144">
        <v>0</v>
      </c>
      <c r="J26" s="144">
        <f t="shared" ref="J26:J28" si="2">SUM(G26:I26)</f>
        <v>25000</v>
      </c>
      <c r="K26" s="144" t="s">
        <v>177</v>
      </c>
      <c r="L26" s="144" t="s">
        <v>178</v>
      </c>
    </row>
    <row r="27" spans="2:13">
      <c r="B27" s="136" t="s">
        <v>179</v>
      </c>
      <c r="C27" s="137">
        <v>1</v>
      </c>
      <c r="D27" s="136" t="s">
        <v>77</v>
      </c>
      <c r="E27" s="137" t="s">
        <v>180</v>
      </c>
      <c r="F27" s="143" t="s">
        <v>175</v>
      </c>
      <c r="G27" s="144">
        <v>15000</v>
      </c>
      <c r="H27" s="144">
        <v>0</v>
      </c>
      <c r="I27" s="144">
        <v>0</v>
      </c>
      <c r="J27" s="144">
        <f t="shared" si="2"/>
        <v>15000</v>
      </c>
      <c r="K27" s="144" t="s">
        <v>181</v>
      </c>
      <c r="L27" s="136" t="s">
        <v>182</v>
      </c>
    </row>
    <row r="28" spans="2:13">
      <c r="B28" s="136" t="s">
        <v>183</v>
      </c>
      <c r="C28" s="137">
        <v>1</v>
      </c>
      <c r="D28" s="136" t="s">
        <v>184</v>
      </c>
      <c r="E28" s="137" t="s">
        <v>185</v>
      </c>
      <c r="F28" s="143" t="s">
        <v>175</v>
      </c>
      <c r="G28" s="144">
        <v>0</v>
      </c>
      <c r="H28" s="144">
        <v>106780</v>
      </c>
      <c r="I28" s="144">
        <v>0</v>
      </c>
      <c r="J28" s="144">
        <f t="shared" si="2"/>
        <v>106780</v>
      </c>
      <c r="K28" s="144" t="s">
        <v>172</v>
      </c>
      <c r="L28" s="136" t="s">
        <v>186</v>
      </c>
    </row>
    <row r="29" spans="2:13">
      <c r="F29" s="143"/>
      <c r="G29" s="144"/>
      <c r="H29" s="144"/>
      <c r="I29" s="144"/>
      <c r="J29" s="144"/>
      <c r="K29" s="144"/>
    </row>
    <row r="30" spans="2:13">
      <c r="D30" s="142" t="s">
        <v>187</v>
      </c>
      <c r="G30" s="144"/>
      <c r="H30" s="144"/>
      <c r="I30" s="144"/>
      <c r="J30" s="144"/>
      <c r="K30" s="144"/>
    </row>
    <row r="31" spans="2:13">
      <c r="B31" s="136" t="s">
        <v>188</v>
      </c>
      <c r="D31" s="136" t="s">
        <v>78</v>
      </c>
      <c r="E31" s="137" t="s">
        <v>165</v>
      </c>
      <c r="F31" s="143"/>
      <c r="G31" s="144">
        <v>347690</v>
      </c>
      <c r="H31" s="144">
        <v>0</v>
      </c>
      <c r="I31" s="144">
        <v>200000</v>
      </c>
      <c r="J31" s="144">
        <f>SUM(G31:I31)</f>
        <v>547690</v>
      </c>
      <c r="K31" s="144" t="s">
        <v>189</v>
      </c>
    </row>
    <row r="32" spans="2:13">
      <c r="B32" s="136" t="s">
        <v>190</v>
      </c>
      <c r="C32" s="137">
        <v>2</v>
      </c>
      <c r="D32" s="136" t="s">
        <v>79</v>
      </c>
      <c r="E32" s="137" t="s">
        <v>191</v>
      </c>
      <c r="F32" s="143"/>
      <c r="G32" s="144">
        <v>25190</v>
      </c>
      <c r="H32" s="144">
        <v>0</v>
      </c>
      <c r="I32" s="144">
        <v>0</v>
      </c>
      <c r="J32" s="144">
        <f>SUM(G32:I32)</f>
        <v>25190</v>
      </c>
      <c r="K32" s="144" t="s">
        <v>189</v>
      </c>
      <c r="M32" s="136">
        <v>25</v>
      </c>
    </row>
    <row r="33" spans="2:13">
      <c r="B33" s="136" t="s">
        <v>192</v>
      </c>
      <c r="C33" s="137">
        <v>2</v>
      </c>
      <c r="D33" s="136" t="s">
        <v>80</v>
      </c>
      <c r="E33" s="137" t="s">
        <v>193</v>
      </c>
      <c r="F33" s="136"/>
      <c r="G33" s="144">
        <v>100000</v>
      </c>
      <c r="H33" s="144">
        <v>0</v>
      </c>
      <c r="I33" s="144">
        <v>0</v>
      </c>
      <c r="J33" s="144">
        <f>SUM(G33:I33)</f>
        <v>100000</v>
      </c>
      <c r="K33" s="144" t="s">
        <v>194</v>
      </c>
      <c r="L33" s="144" t="s">
        <v>195</v>
      </c>
    </row>
    <row r="34" spans="2:13">
      <c r="G34" s="144"/>
      <c r="H34" s="144"/>
      <c r="I34" s="144"/>
      <c r="J34" s="144"/>
      <c r="K34" s="144"/>
      <c r="L34" s="144"/>
    </row>
    <row r="35" spans="2:13">
      <c r="D35" s="142" t="s">
        <v>196</v>
      </c>
      <c r="G35" s="144"/>
      <c r="H35" s="144"/>
      <c r="I35" s="144"/>
      <c r="J35" s="144"/>
      <c r="K35" s="144"/>
      <c r="L35" s="144"/>
    </row>
    <row r="36" spans="2:13">
      <c r="B36" s="136" t="s">
        <v>197</v>
      </c>
      <c r="D36" s="136" t="s">
        <v>81</v>
      </c>
      <c r="F36" s="136"/>
      <c r="G36" s="144">
        <v>10450</v>
      </c>
      <c r="H36" s="144">
        <v>0</v>
      </c>
      <c r="I36" s="144">
        <v>0</v>
      </c>
      <c r="J36" s="144">
        <f t="shared" ref="J36:J68" si="3">SUM(G36:I36)</f>
        <v>10450</v>
      </c>
      <c r="K36" s="144"/>
    </row>
    <row r="37" spans="2:13">
      <c r="B37" s="136" t="s">
        <v>198</v>
      </c>
      <c r="D37" s="136" t="s">
        <v>82</v>
      </c>
      <c r="F37" s="136"/>
      <c r="G37" s="144">
        <v>17520</v>
      </c>
      <c r="H37" s="144">
        <v>3000</v>
      </c>
      <c r="I37" s="144"/>
      <c r="J37" s="144">
        <f t="shared" si="3"/>
        <v>20520</v>
      </c>
      <c r="K37" s="144"/>
    </row>
    <row r="38" spans="2:13">
      <c r="B38" s="136" t="s">
        <v>199</v>
      </c>
      <c r="C38" s="137">
        <v>3</v>
      </c>
      <c r="D38" s="136" t="s">
        <v>83</v>
      </c>
      <c r="E38" s="137" t="s">
        <v>200</v>
      </c>
      <c r="F38" s="136"/>
      <c r="G38" s="144">
        <v>15000</v>
      </c>
      <c r="H38" s="144">
        <v>0</v>
      </c>
      <c r="I38" s="144">
        <v>0</v>
      </c>
      <c r="J38" s="144">
        <f t="shared" si="3"/>
        <v>15000</v>
      </c>
      <c r="K38" s="144" t="s">
        <v>177</v>
      </c>
      <c r="L38" s="147" t="s">
        <v>201</v>
      </c>
    </row>
    <row r="39" spans="2:13">
      <c r="B39" s="136" t="s">
        <v>202</v>
      </c>
      <c r="C39" s="137">
        <v>3</v>
      </c>
      <c r="D39" s="136" t="s">
        <v>84</v>
      </c>
      <c r="E39" s="137" t="s">
        <v>203</v>
      </c>
      <c r="F39" s="136"/>
      <c r="G39" s="144">
        <v>20000</v>
      </c>
      <c r="H39" s="144">
        <v>0</v>
      </c>
      <c r="I39" s="144">
        <v>0</v>
      </c>
      <c r="J39" s="144">
        <f t="shared" si="3"/>
        <v>20000</v>
      </c>
      <c r="K39" s="144" t="s">
        <v>177</v>
      </c>
      <c r="L39" s="147"/>
      <c r="M39" s="136">
        <v>25</v>
      </c>
    </row>
    <row r="40" spans="2:13">
      <c r="B40" s="136" t="s">
        <v>204</v>
      </c>
      <c r="D40" s="136" t="s">
        <v>85</v>
      </c>
      <c r="F40" s="136"/>
      <c r="G40" s="144">
        <v>8000</v>
      </c>
      <c r="H40" s="144">
        <v>0</v>
      </c>
      <c r="I40" s="144">
        <v>0</v>
      </c>
      <c r="J40" s="144">
        <f t="shared" si="3"/>
        <v>8000</v>
      </c>
      <c r="K40" s="144"/>
      <c r="L40" s="147"/>
    </row>
    <row r="41" spans="2:13">
      <c r="B41" s="136" t="s">
        <v>205</v>
      </c>
      <c r="C41" s="137">
        <v>3</v>
      </c>
      <c r="D41" s="136" t="s">
        <v>86</v>
      </c>
      <c r="E41" s="137" t="s">
        <v>206</v>
      </c>
      <c r="F41" s="136"/>
      <c r="G41" s="144">
        <v>75000</v>
      </c>
      <c r="H41" s="144">
        <v>0</v>
      </c>
      <c r="I41" s="144">
        <v>0</v>
      </c>
      <c r="J41" s="144">
        <f t="shared" si="3"/>
        <v>75000</v>
      </c>
      <c r="K41" s="144" t="s">
        <v>207</v>
      </c>
      <c r="L41" s="144"/>
    </row>
    <row r="42" spans="2:13">
      <c r="B42" s="136" t="s">
        <v>208</v>
      </c>
      <c r="D42" s="136" t="s">
        <v>87</v>
      </c>
      <c r="E42" s="137" t="s">
        <v>165</v>
      </c>
      <c r="F42" s="136"/>
      <c r="G42" s="144">
        <v>75000</v>
      </c>
      <c r="H42" s="144">
        <v>75000</v>
      </c>
      <c r="I42" s="144">
        <v>50000</v>
      </c>
      <c r="J42" s="144">
        <f t="shared" si="3"/>
        <v>200000</v>
      </c>
      <c r="K42" s="144"/>
    </row>
    <row r="43" spans="2:13">
      <c r="B43" s="136" t="s">
        <v>209</v>
      </c>
      <c r="D43" s="136" t="s">
        <v>88</v>
      </c>
      <c r="E43" s="137" t="s">
        <v>210</v>
      </c>
      <c r="F43" s="143"/>
      <c r="G43" s="144">
        <v>66000</v>
      </c>
      <c r="H43" s="144">
        <v>0</v>
      </c>
      <c r="I43" s="144">
        <v>0</v>
      </c>
      <c r="J43" s="144">
        <f>SUM(G43:I43)</f>
        <v>66000</v>
      </c>
      <c r="K43" s="144"/>
    </row>
    <row r="44" spans="2:13">
      <c r="B44" s="136" t="s">
        <v>211</v>
      </c>
      <c r="D44" s="136" t="s">
        <v>89</v>
      </c>
      <c r="F44" s="136"/>
      <c r="G44" s="144">
        <v>8000</v>
      </c>
      <c r="H44" s="144">
        <v>0</v>
      </c>
      <c r="I44" s="144">
        <v>0</v>
      </c>
      <c r="J44" s="144">
        <f t="shared" si="3"/>
        <v>8000</v>
      </c>
      <c r="K44" s="144"/>
    </row>
    <row r="45" spans="2:13">
      <c r="B45" s="136" t="s">
        <v>212</v>
      </c>
      <c r="D45" s="136" t="s">
        <v>90</v>
      </c>
      <c r="F45" s="136"/>
      <c r="G45" s="144">
        <v>10000</v>
      </c>
      <c r="H45" s="144">
        <v>0</v>
      </c>
      <c r="I45" s="144"/>
      <c r="J45" s="144">
        <f t="shared" si="3"/>
        <v>10000</v>
      </c>
      <c r="K45" s="144"/>
    </row>
    <row r="46" spans="2:13">
      <c r="B46" s="136" t="s">
        <v>213</v>
      </c>
      <c r="D46" s="136" t="s">
        <v>91</v>
      </c>
      <c r="E46" s="137" t="s">
        <v>165</v>
      </c>
      <c r="F46" s="143"/>
      <c r="G46" s="144">
        <v>30800</v>
      </c>
      <c r="H46" s="144">
        <v>15400</v>
      </c>
      <c r="I46" s="144">
        <v>15150</v>
      </c>
      <c r="J46" s="144">
        <f t="shared" si="3"/>
        <v>61350</v>
      </c>
      <c r="K46" s="144"/>
    </row>
    <row r="47" spans="2:13">
      <c r="B47" s="136" t="s">
        <v>214</v>
      </c>
      <c r="D47" s="136" t="s">
        <v>92</v>
      </c>
      <c r="F47" s="143"/>
      <c r="G47" s="144">
        <v>10000</v>
      </c>
      <c r="H47" s="144"/>
      <c r="I47" s="144">
        <v>0</v>
      </c>
      <c r="J47" s="144">
        <f t="shared" si="3"/>
        <v>10000</v>
      </c>
      <c r="K47" s="144"/>
    </row>
    <row r="48" spans="2:13">
      <c r="B48" s="136" t="s">
        <v>215</v>
      </c>
      <c r="D48" s="136" t="s">
        <v>93</v>
      </c>
      <c r="F48" s="143"/>
      <c r="G48" s="144">
        <v>5000</v>
      </c>
      <c r="H48" s="144">
        <v>0</v>
      </c>
      <c r="I48" s="144">
        <v>0</v>
      </c>
      <c r="J48" s="144">
        <f t="shared" si="3"/>
        <v>5000</v>
      </c>
      <c r="K48" s="144"/>
    </row>
    <row r="49" spans="2:12">
      <c r="B49" s="136" t="s">
        <v>216</v>
      </c>
      <c r="D49" s="136" t="s">
        <v>94</v>
      </c>
      <c r="E49" s="137" t="s">
        <v>217</v>
      </c>
      <c r="F49" s="136"/>
      <c r="G49" s="144">
        <v>25000</v>
      </c>
      <c r="H49" s="144">
        <v>25000</v>
      </c>
      <c r="I49" s="144">
        <v>50000</v>
      </c>
      <c r="J49" s="144">
        <f t="shared" si="3"/>
        <v>100000</v>
      </c>
      <c r="K49" s="144"/>
    </row>
    <row r="50" spans="2:12">
      <c r="B50" s="136" t="s">
        <v>218</v>
      </c>
      <c r="D50" s="136" t="s">
        <v>95</v>
      </c>
      <c r="E50" s="137" t="s">
        <v>219</v>
      </c>
      <c r="F50" s="136"/>
      <c r="G50" s="144">
        <v>40000</v>
      </c>
      <c r="H50" s="144">
        <v>0</v>
      </c>
      <c r="I50" s="144">
        <v>0</v>
      </c>
      <c r="J50" s="144">
        <f>SUM(G50:I50)</f>
        <v>40000</v>
      </c>
      <c r="K50" s="144"/>
      <c r="L50" s="148"/>
    </row>
    <row r="51" spans="2:12">
      <c r="B51" s="136" t="s">
        <v>220</v>
      </c>
      <c r="D51" s="136" t="s">
        <v>96</v>
      </c>
      <c r="F51" s="143"/>
      <c r="G51" s="144">
        <v>4500</v>
      </c>
      <c r="H51" s="144">
        <v>0</v>
      </c>
      <c r="I51" s="144">
        <v>0</v>
      </c>
      <c r="J51" s="144">
        <f>SUM(G51:I51)</f>
        <v>4500</v>
      </c>
      <c r="K51" s="144"/>
      <c r="L51" s="148"/>
    </row>
    <row r="52" spans="2:12">
      <c r="B52" s="136" t="s">
        <v>221</v>
      </c>
      <c r="D52" s="136" t="s">
        <v>222</v>
      </c>
      <c r="F52" s="143"/>
      <c r="G52" s="144">
        <v>0</v>
      </c>
      <c r="H52" s="144">
        <v>10000</v>
      </c>
      <c r="I52" s="144"/>
      <c r="J52" s="144">
        <f t="shared" si="3"/>
        <v>10000</v>
      </c>
      <c r="K52" s="144"/>
    </row>
    <row r="53" spans="2:12">
      <c r="B53" s="136" t="s">
        <v>223</v>
      </c>
      <c r="D53" s="136" t="s">
        <v>224</v>
      </c>
      <c r="F53" s="143"/>
      <c r="G53" s="144">
        <v>0</v>
      </c>
      <c r="H53" s="144">
        <v>19890</v>
      </c>
      <c r="I53" s="144"/>
      <c r="J53" s="144">
        <f t="shared" si="3"/>
        <v>19890</v>
      </c>
      <c r="K53" s="144"/>
    </row>
    <row r="54" spans="2:12">
      <c r="B54" s="136" t="s">
        <v>225</v>
      </c>
      <c r="D54" s="136" t="s">
        <v>226</v>
      </c>
      <c r="F54" s="136"/>
      <c r="G54" s="144">
        <v>0</v>
      </c>
      <c r="H54" s="144">
        <f>13100+3160</f>
        <v>16260</v>
      </c>
      <c r="I54" s="144">
        <v>0</v>
      </c>
      <c r="J54" s="144">
        <f t="shared" si="3"/>
        <v>16260</v>
      </c>
      <c r="K54" s="144"/>
    </row>
    <row r="55" spans="2:12">
      <c r="B55" s="136" t="s">
        <v>227</v>
      </c>
      <c r="C55" s="137">
        <v>5</v>
      </c>
      <c r="D55" s="136" t="s">
        <v>228</v>
      </c>
      <c r="F55" s="136"/>
      <c r="G55" s="144">
        <v>0</v>
      </c>
      <c r="H55" s="144">
        <v>7800</v>
      </c>
      <c r="I55" s="144">
        <v>0</v>
      </c>
      <c r="J55" s="144">
        <f t="shared" si="3"/>
        <v>7800</v>
      </c>
      <c r="K55" s="144" t="s">
        <v>177</v>
      </c>
      <c r="L55" s="148" t="s">
        <v>229</v>
      </c>
    </row>
    <row r="56" spans="2:12">
      <c r="B56" s="136" t="s">
        <v>230</v>
      </c>
      <c r="D56" s="136" t="s">
        <v>231</v>
      </c>
      <c r="E56" s="137" t="s">
        <v>206</v>
      </c>
      <c r="F56" s="136" t="s">
        <v>232</v>
      </c>
      <c r="G56" s="144">
        <v>0</v>
      </c>
      <c r="H56" s="144">
        <v>40000</v>
      </c>
      <c r="I56" s="144">
        <v>0</v>
      </c>
      <c r="J56" s="144">
        <f t="shared" si="3"/>
        <v>40000</v>
      </c>
      <c r="K56" s="144"/>
      <c r="L56" s="148"/>
    </row>
    <row r="57" spans="2:12">
      <c r="B57" s="136" t="s">
        <v>233</v>
      </c>
      <c r="D57" s="136" t="s">
        <v>234</v>
      </c>
      <c r="F57" s="136" t="s">
        <v>232</v>
      </c>
      <c r="G57" s="144">
        <v>0</v>
      </c>
      <c r="H57" s="144">
        <v>78000</v>
      </c>
      <c r="I57" s="144">
        <v>0</v>
      </c>
      <c r="J57" s="144">
        <f t="shared" si="3"/>
        <v>78000</v>
      </c>
      <c r="K57" s="144"/>
    </row>
    <row r="58" spans="2:12">
      <c r="B58" s="136" t="s">
        <v>235</v>
      </c>
      <c r="C58" s="137">
        <v>6</v>
      </c>
      <c r="D58" s="136" t="s">
        <v>236</v>
      </c>
      <c r="E58" s="137" t="s">
        <v>165</v>
      </c>
      <c r="F58" s="143"/>
      <c r="G58" s="144">
        <v>0</v>
      </c>
      <c r="H58" s="144">
        <v>17000</v>
      </c>
      <c r="I58" s="144">
        <v>0</v>
      </c>
      <c r="J58" s="144">
        <f t="shared" si="3"/>
        <v>17000</v>
      </c>
      <c r="K58" s="144" t="s">
        <v>172</v>
      </c>
    </row>
    <row r="59" spans="2:12">
      <c r="B59" s="136" t="s">
        <v>237</v>
      </c>
      <c r="C59" s="137">
        <v>6</v>
      </c>
      <c r="D59" s="136" t="s">
        <v>238</v>
      </c>
      <c r="F59" s="136"/>
      <c r="G59" s="144">
        <v>0</v>
      </c>
      <c r="H59" s="144">
        <v>3000</v>
      </c>
      <c r="I59" s="144">
        <v>0</v>
      </c>
      <c r="J59" s="144">
        <f t="shared" si="3"/>
        <v>3000</v>
      </c>
      <c r="K59" s="144" t="s">
        <v>172</v>
      </c>
    </row>
    <row r="60" spans="2:12">
      <c r="B60" s="136" t="s">
        <v>239</v>
      </c>
      <c r="D60" s="136" t="s">
        <v>240</v>
      </c>
      <c r="F60" s="136"/>
      <c r="G60" s="144">
        <v>0</v>
      </c>
      <c r="H60" s="144">
        <v>10730</v>
      </c>
      <c r="I60" s="144">
        <v>0</v>
      </c>
      <c r="J60" s="144">
        <f t="shared" si="3"/>
        <v>10730</v>
      </c>
      <c r="K60" s="144"/>
      <c r="L60" s="147"/>
    </row>
    <row r="61" spans="2:12">
      <c r="B61" s="136" t="s">
        <v>241</v>
      </c>
      <c r="D61" s="136" t="s">
        <v>242</v>
      </c>
      <c r="F61" s="136"/>
      <c r="G61" s="144">
        <v>0</v>
      </c>
      <c r="H61" s="144">
        <f>1800+6450</f>
        <v>8250</v>
      </c>
      <c r="I61" s="144">
        <f>8250+12200-10080</f>
        <v>10370</v>
      </c>
      <c r="J61" s="144">
        <f t="shared" si="3"/>
        <v>18620</v>
      </c>
      <c r="K61" s="144"/>
    </row>
    <row r="62" spans="2:12">
      <c r="B62" s="136" t="s">
        <v>243</v>
      </c>
      <c r="D62" s="136" t="s">
        <v>244</v>
      </c>
      <c r="F62" s="143" t="s">
        <v>245</v>
      </c>
      <c r="H62" s="144">
        <v>25000</v>
      </c>
      <c r="I62" s="144">
        <v>75000</v>
      </c>
      <c r="J62" s="144">
        <f t="shared" si="3"/>
        <v>100000</v>
      </c>
      <c r="K62" s="144"/>
    </row>
    <row r="63" spans="2:12">
      <c r="B63" s="136" t="s">
        <v>246</v>
      </c>
      <c r="D63" s="136" t="s">
        <v>247</v>
      </c>
      <c r="E63" s="137" t="s">
        <v>206</v>
      </c>
      <c r="F63" s="136" t="s">
        <v>232</v>
      </c>
      <c r="G63" s="144">
        <v>0</v>
      </c>
      <c r="H63" s="144">
        <v>50000</v>
      </c>
      <c r="I63" s="144">
        <v>50000</v>
      </c>
      <c r="J63" s="144">
        <f t="shared" si="3"/>
        <v>100000</v>
      </c>
      <c r="K63" s="144"/>
    </row>
    <row r="64" spans="2:12">
      <c r="B64" s="136" t="s">
        <v>248</v>
      </c>
      <c r="D64" s="136" t="s">
        <v>249</v>
      </c>
      <c r="E64" s="137" t="s">
        <v>250</v>
      </c>
      <c r="F64" s="143"/>
      <c r="G64" s="144">
        <v>0</v>
      </c>
      <c r="H64" s="144">
        <v>20000</v>
      </c>
      <c r="I64" s="144">
        <v>20000</v>
      </c>
      <c r="J64" s="144">
        <f t="shared" si="3"/>
        <v>40000</v>
      </c>
      <c r="K64" s="144"/>
      <c r="L64" s="148"/>
    </row>
    <row r="65" spans="2:13">
      <c r="B65" s="136" t="s">
        <v>251</v>
      </c>
      <c r="D65" s="136" t="s">
        <v>252</v>
      </c>
      <c r="F65" s="136"/>
      <c r="G65" s="144">
        <v>0</v>
      </c>
      <c r="H65" s="144">
        <v>0</v>
      </c>
      <c r="I65" s="144">
        <v>19350</v>
      </c>
      <c r="J65" s="144">
        <f t="shared" si="3"/>
        <v>19350</v>
      </c>
      <c r="K65" s="144"/>
      <c r="L65" s="148"/>
    </row>
    <row r="66" spans="2:13">
      <c r="B66" s="136" t="s">
        <v>253</v>
      </c>
      <c r="D66" s="136" t="s">
        <v>254</v>
      </c>
      <c r="F66" s="136"/>
      <c r="G66" s="144">
        <v>0</v>
      </c>
      <c r="H66" s="144">
        <v>0</v>
      </c>
      <c r="I66" s="144">
        <v>7770</v>
      </c>
      <c r="J66" s="144">
        <f t="shared" si="3"/>
        <v>7770</v>
      </c>
      <c r="K66" s="144"/>
      <c r="L66" s="147"/>
    </row>
    <row r="67" spans="2:13">
      <c r="B67" s="136" t="s">
        <v>255</v>
      </c>
      <c r="C67" s="137">
        <v>6</v>
      </c>
      <c r="D67" s="136" t="s">
        <v>256</v>
      </c>
      <c r="F67" s="136"/>
      <c r="G67" s="144">
        <v>0</v>
      </c>
      <c r="H67" s="144">
        <v>0</v>
      </c>
      <c r="I67" s="144">
        <f>9300+43800+4200+-9540-52000-2800+20500+36000+9100+36200+1400+20500-18000</f>
        <v>98660</v>
      </c>
      <c r="J67" s="144">
        <f t="shared" si="3"/>
        <v>98660</v>
      </c>
      <c r="K67" s="144" t="s">
        <v>172</v>
      </c>
      <c r="L67" s="136" t="s">
        <v>257</v>
      </c>
      <c r="M67" s="136">
        <v>100</v>
      </c>
    </row>
    <row r="68" spans="2:13">
      <c r="B68" s="136" t="s">
        <v>258</v>
      </c>
      <c r="C68" s="137">
        <v>6</v>
      </c>
      <c r="D68" s="136" t="s">
        <v>259</v>
      </c>
      <c r="E68" s="137" t="s">
        <v>165</v>
      </c>
      <c r="G68" s="144">
        <v>0</v>
      </c>
      <c r="H68" s="144">
        <v>0</v>
      </c>
      <c r="I68" s="144">
        <v>32000</v>
      </c>
      <c r="J68" s="144">
        <f t="shared" si="3"/>
        <v>32000</v>
      </c>
      <c r="K68" s="144"/>
      <c r="L68" s="136" t="s">
        <v>260</v>
      </c>
    </row>
    <row r="69" spans="2:13" ht="15.6">
      <c r="B69" s="134"/>
      <c r="D69" s="134" t="s">
        <v>261</v>
      </c>
      <c r="E69" s="135"/>
      <c r="F69" s="145"/>
      <c r="G69" s="146">
        <f t="shared" ref="G69:M69" si="4">SUM(G26:G68)</f>
        <v>933150</v>
      </c>
      <c r="H69" s="146">
        <f t="shared" si="4"/>
        <v>531110</v>
      </c>
      <c r="I69" s="146">
        <f t="shared" si="4"/>
        <v>628300</v>
      </c>
      <c r="J69" s="146">
        <f t="shared" si="4"/>
        <v>2092560</v>
      </c>
      <c r="K69" s="149">
        <f t="shared" si="4"/>
        <v>0</v>
      </c>
      <c r="L69" s="149">
        <f t="shared" si="4"/>
        <v>0</v>
      </c>
      <c r="M69" s="149">
        <f t="shared" si="4"/>
        <v>150</v>
      </c>
    </row>
    <row r="71" spans="2:13">
      <c r="D71" s="136" t="s">
        <v>262</v>
      </c>
      <c r="G71" s="144">
        <f t="shared" ref="G71:M71" si="5">G12+G22+G69</f>
        <v>1058150</v>
      </c>
      <c r="H71" s="144">
        <f t="shared" si="5"/>
        <v>993110</v>
      </c>
      <c r="I71" s="144">
        <f t="shared" si="5"/>
        <v>1033300</v>
      </c>
      <c r="J71" s="144">
        <f t="shared" si="5"/>
        <v>3084560</v>
      </c>
      <c r="K71" s="144">
        <f t="shared" si="5"/>
        <v>0</v>
      </c>
      <c r="L71" s="144">
        <f t="shared" si="5"/>
        <v>0</v>
      </c>
      <c r="M71" s="144">
        <f t="shared" si="5"/>
        <v>150</v>
      </c>
    </row>
    <row r="72" spans="2:13">
      <c r="D72" s="136" t="s">
        <v>263</v>
      </c>
      <c r="G72" s="144">
        <v>1025170</v>
      </c>
      <c r="H72" s="144">
        <v>1026400</v>
      </c>
      <c r="I72" s="144">
        <v>1001920</v>
      </c>
      <c r="J72" s="144">
        <f>SUM(G72:I72)</f>
        <v>3053490</v>
      </c>
    </row>
    <row r="73" spans="2:13" ht="16.149999999999999" thickBot="1">
      <c r="G73" s="150">
        <f>G71-G72</f>
        <v>32980</v>
      </c>
      <c r="H73" s="150">
        <f t="shared" ref="H73:M73" si="6">H71-H72</f>
        <v>-33290</v>
      </c>
      <c r="I73" s="150">
        <f t="shared" si="6"/>
        <v>31380</v>
      </c>
      <c r="J73" s="150">
        <f t="shared" si="6"/>
        <v>31070</v>
      </c>
      <c r="K73" s="144">
        <f t="shared" si="6"/>
        <v>0</v>
      </c>
      <c r="L73" s="144">
        <f t="shared" si="6"/>
        <v>0</v>
      </c>
      <c r="M73" s="144">
        <f t="shared" si="6"/>
        <v>150</v>
      </c>
    </row>
    <row r="74" spans="2:13" ht="13.9" thickTop="1"/>
    <row r="75" spans="2:13" hidden="1">
      <c r="F75" s="143"/>
      <c r="G75" s="144"/>
      <c r="H75" s="144"/>
      <c r="I75" s="144"/>
      <c r="J75" s="144"/>
      <c r="K75" s="144"/>
    </row>
    <row r="76" spans="2:13" ht="16.899999999999999" hidden="1" thickTop="1" thickBot="1">
      <c r="D76" s="151" t="s">
        <v>264</v>
      </c>
      <c r="E76" s="152">
        <v>1078</v>
      </c>
      <c r="F76" s="152">
        <v>1177</v>
      </c>
      <c r="G76" s="153">
        <f>G72/1000</f>
        <v>1025.17</v>
      </c>
      <c r="H76" s="153">
        <f>H72/1000</f>
        <v>1026.4000000000001</v>
      </c>
      <c r="I76" s="153">
        <f>I72/1000</f>
        <v>1001.92</v>
      </c>
      <c r="J76" s="153">
        <f>SUM(G76:I76)</f>
        <v>3053.4900000000002</v>
      </c>
    </row>
    <row r="77" spans="2:13" ht="16.149999999999999" hidden="1" thickBot="1">
      <c r="D77" s="154"/>
      <c r="E77" s="155"/>
      <c r="F77" s="155"/>
      <c r="G77" s="153"/>
      <c r="H77" s="153"/>
      <c r="I77" s="153"/>
      <c r="J77" s="153"/>
    </row>
    <row r="78" spans="2:13" ht="13.9" hidden="1" thickBot="1">
      <c r="D78" s="154" t="s">
        <v>265</v>
      </c>
      <c r="E78" s="156">
        <v>2132</v>
      </c>
      <c r="F78" s="156">
        <v>2699</v>
      </c>
      <c r="G78" s="157">
        <f>G12/1000</f>
        <v>0</v>
      </c>
      <c r="H78" s="157">
        <f>H12/1000</f>
        <v>300</v>
      </c>
      <c r="I78" s="157">
        <f>I12/1000</f>
        <v>350</v>
      </c>
      <c r="J78" s="153">
        <f>SUM(G78:I78)</f>
        <v>650</v>
      </c>
    </row>
    <row r="79" spans="2:13" ht="13.9" hidden="1" thickBot="1">
      <c r="D79" s="154" t="s">
        <v>159</v>
      </c>
      <c r="E79" s="158"/>
      <c r="F79" s="158"/>
      <c r="G79" s="157">
        <f>G22/1000</f>
        <v>125</v>
      </c>
      <c r="H79" s="157">
        <f>H22/1000</f>
        <v>162</v>
      </c>
      <c r="I79" s="157">
        <f>I22/1000</f>
        <v>55</v>
      </c>
      <c r="J79" s="153">
        <f>SUM(G79:I79)</f>
        <v>342</v>
      </c>
    </row>
    <row r="80" spans="2:13" ht="13.9" hidden="1" thickBot="1">
      <c r="D80" s="154" t="s">
        <v>266</v>
      </c>
      <c r="E80" s="158"/>
      <c r="F80" s="158"/>
      <c r="G80" s="157">
        <f>G69/1000</f>
        <v>933.15</v>
      </c>
      <c r="H80" s="157">
        <f>H69/1000</f>
        <v>531.11</v>
      </c>
      <c r="I80" s="157">
        <f>I69/1000</f>
        <v>628.29999999999995</v>
      </c>
      <c r="J80" s="153">
        <f>SUM(G80:I80)</f>
        <v>2092.56</v>
      </c>
      <c r="K80" s="144"/>
    </row>
    <row r="81" spans="4:13" ht="13.9" hidden="1" thickBot="1">
      <c r="D81" s="154"/>
      <c r="E81" s="158"/>
      <c r="F81" s="158"/>
      <c r="G81" s="157">
        <f>SUM(G78:G80)</f>
        <v>1058.1500000000001</v>
      </c>
      <c r="H81" s="157">
        <f t="shared" ref="H81:J81" si="7">SUM(H78:H80)</f>
        <v>993.11</v>
      </c>
      <c r="I81" s="157">
        <f t="shared" si="7"/>
        <v>1033.3</v>
      </c>
      <c r="J81" s="157">
        <f t="shared" si="7"/>
        <v>3084.56</v>
      </c>
      <c r="K81" s="144"/>
    </row>
    <row r="82" spans="4:13" ht="13.9" hidden="1" thickBot="1">
      <c r="D82" s="154"/>
      <c r="E82" s="158"/>
      <c r="F82" s="158"/>
      <c r="G82" s="157"/>
      <c r="H82" s="157"/>
      <c r="I82" s="157"/>
      <c r="J82" s="153"/>
      <c r="K82" s="144"/>
    </row>
    <row r="83" spans="4:13" ht="13.9" hidden="1" thickBot="1">
      <c r="D83" s="159" t="s">
        <v>267</v>
      </c>
      <c r="E83" s="160">
        <v>152</v>
      </c>
      <c r="F83" s="160">
        <v>-94</v>
      </c>
      <c r="G83" s="153">
        <f>G76-G78-G79-G80</f>
        <v>-32.979999999999905</v>
      </c>
      <c r="H83" s="153">
        <f t="shared" ref="H83:I83" si="8">H76-H78-H79-H80</f>
        <v>33.290000000000077</v>
      </c>
      <c r="I83" s="153">
        <f t="shared" si="8"/>
        <v>-31.379999999999995</v>
      </c>
      <c r="J83" s="153">
        <f>SUM(G83:I83)</f>
        <v>-31.069999999999823</v>
      </c>
      <c r="K83" s="161"/>
      <c r="L83" s="144"/>
    </row>
    <row r="84" spans="4:13" hidden="1">
      <c r="M84" s="162">
        <f>SUM(M83:M83)</f>
        <v>0</v>
      </c>
    </row>
    <row r="85" spans="4:13" hidden="1"/>
    <row r="86" spans="4:13" hidden="1">
      <c r="G86" s="144"/>
      <c r="H86" s="144"/>
      <c r="I86" s="144"/>
      <c r="K86" s="144"/>
    </row>
    <row r="87" spans="4:13" hidden="1">
      <c r="D87" s="142"/>
      <c r="G87" s="144">
        <f>G69/1000</f>
        <v>933.15</v>
      </c>
      <c r="H87" s="144">
        <f t="shared" ref="H87:J87" si="9">H69/1000</f>
        <v>531.11</v>
      </c>
      <c r="I87" s="144">
        <f t="shared" si="9"/>
        <v>628.29999999999995</v>
      </c>
      <c r="J87" s="144">
        <f t="shared" si="9"/>
        <v>2092.56</v>
      </c>
    </row>
    <row r="88" spans="4:13" hidden="1"/>
    <row r="89" spans="4:13" hidden="1">
      <c r="D89" s="163"/>
    </row>
    <row r="90" spans="4:13" hidden="1"/>
    <row r="91" spans="4:13" hidden="1"/>
    <row r="92" spans="4:13" hidden="1"/>
    <row r="93" spans="4:13" hidden="1">
      <c r="D93" s="163"/>
    </row>
    <row r="95" spans="4:13">
      <c r="D95" s="136" t="s">
        <v>268</v>
      </c>
      <c r="J95" s="169">
        <f>(J31+J32)/1000000</f>
        <v>0.57287999999999994</v>
      </c>
    </row>
    <row r="96" spans="4:13">
      <c r="D96" s="136" t="s">
        <v>269</v>
      </c>
      <c r="J96" s="167">
        <f>(J41+J56+J57+J63)/1000000</f>
        <v>0.29299999999999998</v>
      </c>
    </row>
    <row r="97" spans="2:13">
      <c r="D97" s="136" t="s">
        <v>270</v>
      </c>
      <c r="J97" s="136">
        <f>J42/1000000</f>
        <v>0.2</v>
      </c>
    </row>
    <row r="98" spans="2:13">
      <c r="J98" s="167">
        <f>(J69/1000000)-J97-J96-J95</f>
        <v>1.0266800000000003</v>
      </c>
    </row>
    <row r="101" spans="2:13">
      <c r="D101" s="136" t="s">
        <v>265</v>
      </c>
      <c r="G101" s="168">
        <f>SUM(G12/1000)</f>
        <v>0</v>
      </c>
      <c r="H101" s="168">
        <f t="shared" ref="H101:I101" si="10">SUM(H12/1000)</f>
        <v>300</v>
      </c>
      <c r="I101" s="168">
        <f t="shared" si="10"/>
        <v>350</v>
      </c>
      <c r="J101" s="168">
        <f>SUM(G101:I101)</f>
        <v>650</v>
      </c>
    </row>
    <row r="102" spans="2:13">
      <c r="D102" s="136" t="s">
        <v>159</v>
      </c>
      <c r="G102" s="168">
        <f>SUM(G22/1000)</f>
        <v>125</v>
      </c>
      <c r="H102" s="168">
        <f t="shared" ref="H102:I102" si="11">SUM(H22/1000)</f>
        <v>162</v>
      </c>
      <c r="I102" s="168">
        <f t="shared" si="11"/>
        <v>55</v>
      </c>
      <c r="J102" s="168">
        <f t="shared" ref="J102:J103" si="12">SUM(G102:I102)</f>
        <v>342</v>
      </c>
    </row>
    <row r="103" spans="2:13">
      <c r="D103" s="136" t="s">
        <v>266</v>
      </c>
      <c r="G103" s="168">
        <f>SUM(G69/1000)</f>
        <v>933.15</v>
      </c>
      <c r="H103" s="168">
        <f t="shared" ref="H103:I103" si="13">SUM(H69/1000)</f>
        <v>531.11</v>
      </c>
      <c r="I103" s="168">
        <f t="shared" si="13"/>
        <v>628.29999999999995</v>
      </c>
      <c r="J103" s="168">
        <f t="shared" si="12"/>
        <v>2092.56</v>
      </c>
    </row>
    <row r="104" spans="2:13">
      <c r="G104" s="168">
        <f>SUM(G101:G103)</f>
        <v>1058.1500000000001</v>
      </c>
      <c r="H104" s="168">
        <f t="shared" ref="H104:J104" si="14">SUM(H101:H103)</f>
        <v>993.11</v>
      </c>
      <c r="I104" s="168">
        <f t="shared" si="14"/>
        <v>1033.3</v>
      </c>
      <c r="J104" s="168">
        <f t="shared" si="14"/>
        <v>3084.56</v>
      </c>
    </row>
    <row r="107" spans="2:13">
      <c r="F107" s="136"/>
      <c r="G107" s="144"/>
      <c r="H107" s="144"/>
      <c r="I107" s="144"/>
      <c r="J107" s="144"/>
      <c r="K107" s="144"/>
      <c r="L107" s="147"/>
    </row>
    <row r="108" spans="2:13">
      <c r="B108" s="136" t="s">
        <v>271</v>
      </c>
      <c r="C108" s="137">
        <v>1</v>
      </c>
      <c r="D108" s="136" t="s">
        <v>272</v>
      </c>
      <c r="E108" s="137" t="s">
        <v>165</v>
      </c>
      <c r="F108" s="143" t="s">
        <v>175</v>
      </c>
      <c r="G108" s="144">
        <f>87300/2</f>
        <v>43650</v>
      </c>
      <c r="H108" s="144">
        <f>G108</f>
        <v>43650</v>
      </c>
      <c r="I108" s="144">
        <v>0</v>
      </c>
      <c r="J108" s="144">
        <f>SUM(G108:I108)</f>
        <v>87300</v>
      </c>
      <c r="K108" s="144" t="s">
        <v>273</v>
      </c>
      <c r="L108" s="144" t="s">
        <v>274</v>
      </c>
    </row>
    <row r="109" spans="2:13">
      <c r="B109" s="136" t="s">
        <v>275</v>
      </c>
      <c r="C109" s="137">
        <v>1</v>
      </c>
      <c r="D109" s="136" t="s">
        <v>276</v>
      </c>
      <c r="E109" s="137" t="s">
        <v>165</v>
      </c>
      <c r="F109" s="143" t="s">
        <v>175</v>
      </c>
      <c r="G109" s="144">
        <f>69460/2</f>
        <v>34730</v>
      </c>
      <c r="H109" s="144">
        <f>G109</f>
        <v>34730</v>
      </c>
      <c r="I109" s="144">
        <v>0</v>
      </c>
      <c r="J109" s="144">
        <f>SUM(G109:I109)</f>
        <v>69460</v>
      </c>
      <c r="K109" s="144" t="s">
        <v>273</v>
      </c>
      <c r="L109" s="144" t="s">
        <v>274</v>
      </c>
      <c r="M109" s="136">
        <v>18</v>
      </c>
    </row>
    <row r="110" spans="2:13">
      <c r="B110" s="136" t="s">
        <v>277</v>
      </c>
      <c r="C110" s="137">
        <v>2</v>
      </c>
      <c r="D110" s="136" t="s">
        <v>278</v>
      </c>
      <c r="E110" s="137" t="s">
        <v>279</v>
      </c>
      <c r="F110" s="143"/>
      <c r="G110" s="144">
        <v>25000</v>
      </c>
      <c r="H110" s="144">
        <v>0</v>
      </c>
      <c r="I110" s="144">
        <v>0</v>
      </c>
      <c r="J110" s="144">
        <f>SUM(G110:I110)</f>
        <v>25000</v>
      </c>
      <c r="K110" s="144" t="s">
        <v>194</v>
      </c>
      <c r="L110" s="136" t="s">
        <v>280</v>
      </c>
    </row>
    <row r="111" spans="2:13">
      <c r="F111" s="136"/>
      <c r="G111" s="144"/>
      <c r="H111" s="144"/>
      <c r="I111" s="144"/>
      <c r="J111" s="144"/>
      <c r="K111" s="144"/>
      <c r="L111" s="147"/>
    </row>
    <row r="112" spans="2:13">
      <c r="F112" s="143"/>
      <c r="G112" s="144"/>
      <c r="H112" s="144"/>
      <c r="I112" s="144"/>
      <c r="J112" s="144"/>
      <c r="K112" s="144"/>
      <c r="L112" s="144" t="s">
        <v>281</v>
      </c>
      <c r="M112" s="136">
        <v>30</v>
      </c>
    </row>
    <row r="113" spans="4:12">
      <c r="F113" s="136"/>
      <c r="G113" s="144"/>
      <c r="H113" s="144"/>
      <c r="I113" s="144"/>
      <c r="J113" s="144"/>
      <c r="K113" s="144"/>
      <c r="L113" s="144"/>
    </row>
    <row r="114" spans="4:12">
      <c r="D114" s="163"/>
    </row>
  </sheetData>
  <pageMargins left="0.43307086614173229" right="0.35433070866141736" top="1.299212598425197" bottom="0.98425196850393704" header="0.51181102362204722" footer="0.51181102362204722"/>
  <pageSetup paperSize="8" orientation="portrait" r:id="rId1"/>
  <headerFooter alignWithMargins="0">
    <oddHeader>&amp;R&amp;"Arial,Bold"&amp;26Appendix F(i)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B2:K126"/>
  <sheetViews>
    <sheetView topLeftCell="A28" zoomScaleNormal="100" zoomScaleSheetLayoutView="75" workbookViewId="0">
      <selection activeCell="C42" sqref="C42"/>
    </sheetView>
  </sheetViews>
  <sheetFormatPr defaultRowHeight="13.15"/>
  <cols>
    <col min="1" max="1" width="3" customWidth="1"/>
    <col min="2" max="2" width="5.140625" customWidth="1"/>
    <col min="3" max="3" width="59.85546875" customWidth="1"/>
    <col min="4" max="4" width="8.140625" hidden="1" customWidth="1"/>
    <col min="5" max="5" width="12.7109375" bestFit="1" customWidth="1"/>
    <col min="6" max="6" width="11.85546875" bestFit="1" customWidth="1"/>
    <col min="7" max="7" width="11.7109375" bestFit="1" customWidth="1"/>
    <col min="8" max="8" width="11.85546875" customWidth="1"/>
    <col min="9" max="9" width="10.28515625" bestFit="1" customWidth="1"/>
  </cols>
  <sheetData>
    <row r="2" spans="2:8" ht="21">
      <c r="B2" s="39" t="s">
        <v>18</v>
      </c>
    </row>
    <row r="3" spans="2:8" ht="21">
      <c r="B3" s="39" t="s">
        <v>282</v>
      </c>
    </row>
    <row r="4" spans="2:8" ht="11.25" customHeight="1">
      <c r="B4" s="39"/>
    </row>
    <row r="5" spans="2:8" ht="21">
      <c r="B5" s="39" t="str">
        <f>"Management Team Proposal v.1"</f>
        <v>Management Team Proposal v.1</v>
      </c>
    </row>
    <row r="6" spans="2:8" ht="13.9" thickBot="1"/>
    <row r="7" spans="2:8">
      <c r="B7" s="40"/>
      <c r="C7" s="41"/>
      <c r="D7" s="40"/>
      <c r="E7" s="96" t="s">
        <v>1</v>
      </c>
      <c r="F7" s="43" t="s">
        <v>1</v>
      </c>
      <c r="G7" s="40" t="s">
        <v>1</v>
      </c>
      <c r="H7" s="40" t="s">
        <v>1</v>
      </c>
    </row>
    <row r="8" spans="2:8">
      <c r="B8" s="44"/>
      <c r="C8" s="45"/>
      <c r="D8" s="44"/>
      <c r="E8" s="198" t="s">
        <v>2</v>
      </c>
      <c r="F8" s="199" t="s">
        <v>2</v>
      </c>
      <c r="G8" s="44" t="s">
        <v>2</v>
      </c>
      <c r="H8" s="44" t="s">
        <v>2</v>
      </c>
    </row>
    <row r="9" spans="2:8">
      <c r="B9" s="44" t="s">
        <v>19</v>
      </c>
      <c r="C9" s="45"/>
      <c r="D9" s="44"/>
      <c r="E9" s="200" t="s">
        <v>6</v>
      </c>
      <c r="F9" s="201" t="s">
        <v>7</v>
      </c>
      <c r="G9" s="44" t="s">
        <v>62</v>
      </c>
      <c r="H9" s="44" t="s">
        <v>63</v>
      </c>
    </row>
    <row r="10" spans="2:8">
      <c r="B10" s="46" t="s">
        <v>23</v>
      </c>
      <c r="C10" s="47"/>
      <c r="D10" s="46" t="s">
        <v>65</v>
      </c>
      <c r="E10" s="202" t="s">
        <v>24</v>
      </c>
      <c r="F10" s="203" t="s">
        <v>24</v>
      </c>
      <c r="G10" s="46" t="s">
        <v>24</v>
      </c>
      <c r="H10" s="46" t="s">
        <v>24</v>
      </c>
    </row>
    <row r="11" spans="2:8" ht="13.9" thickBot="1">
      <c r="B11" s="204"/>
      <c r="C11" s="48"/>
      <c r="D11" s="48"/>
      <c r="E11" s="112"/>
      <c r="F11" s="50"/>
      <c r="G11" s="50"/>
      <c r="H11" s="50"/>
    </row>
    <row r="12" spans="2:8" ht="13.9" thickBot="1">
      <c r="B12" s="205">
        <v>1</v>
      </c>
      <c r="C12" s="51" t="s">
        <v>66</v>
      </c>
      <c r="D12" s="51"/>
      <c r="E12" s="113">
        <f>'App A - Final Firming Up'!E38</f>
        <v>18943950</v>
      </c>
      <c r="F12" s="53">
        <f>'App A - Final Firming Up'!F38</f>
        <v>19823400</v>
      </c>
      <c r="G12" s="53">
        <f>'App A - Final Firming Up'!G38</f>
        <v>20409350</v>
      </c>
      <c r="H12" s="53" t="e">
        <f>'App A - Final Firming Up'!#REF!</f>
        <v>#REF!</v>
      </c>
    </row>
    <row r="13" spans="2:8">
      <c r="B13" s="206"/>
      <c r="C13" s="207"/>
      <c r="D13" s="193"/>
      <c r="E13" s="208"/>
      <c r="F13" s="209"/>
      <c r="G13" s="209"/>
      <c r="H13" s="209"/>
    </row>
    <row r="14" spans="2:8">
      <c r="B14" s="206"/>
      <c r="C14" s="54" t="s">
        <v>67</v>
      </c>
      <c r="D14" s="15"/>
      <c r="E14" s="208"/>
      <c r="F14" s="209"/>
      <c r="G14" s="209"/>
      <c r="H14" s="209"/>
    </row>
    <row r="15" spans="2:8">
      <c r="B15" s="206">
        <f>B12+1</f>
        <v>2</v>
      </c>
      <c r="C15" s="207" t="s">
        <v>68</v>
      </c>
      <c r="D15" s="193"/>
      <c r="E15" s="208">
        <v>-7448910</v>
      </c>
      <c r="F15" s="209">
        <v>-6222020</v>
      </c>
      <c r="G15" s="209">
        <v>-6046520</v>
      </c>
      <c r="H15" s="209">
        <f>ROUND(G15*0.98,-1)</f>
        <v>-5925590</v>
      </c>
    </row>
    <row r="16" spans="2:8">
      <c r="B16" s="206">
        <f>B15+1</f>
        <v>3</v>
      </c>
      <c r="C16" s="207" t="s">
        <v>69</v>
      </c>
      <c r="D16" s="193"/>
      <c r="E16" s="208">
        <v>-160170</v>
      </c>
      <c r="F16" s="209">
        <v>0</v>
      </c>
      <c r="G16" s="209">
        <v>0</v>
      </c>
      <c r="H16" s="209">
        <v>0</v>
      </c>
    </row>
    <row r="17" spans="2:9">
      <c r="B17" s="206">
        <f>B16+1</f>
        <v>4</v>
      </c>
      <c r="C17" s="207" t="s">
        <v>283</v>
      </c>
      <c r="D17" s="193"/>
      <c r="E17" s="208">
        <v>-62170</v>
      </c>
      <c r="F17" s="209">
        <v>-62170</v>
      </c>
      <c r="G17" s="209">
        <v>0</v>
      </c>
      <c r="H17" s="209">
        <v>0</v>
      </c>
    </row>
    <row r="18" spans="2:9" ht="13.9" thickBot="1">
      <c r="B18" s="206">
        <f>B17+1</f>
        <v>5</v>
      </c>
      <c r="C18" s="207" t="s">
        <v>70</v>
      </c>
      <c r="D18" s="193"/>
      <c r="E18" s="208">
        <f>-ROUND(E95,-1)</f>
        <v>-5332010</v>
      </c>
      <c r="F18" s="209">
        <f>-ROUND(F95,-1)</f>
        <v>-5438710</v>
      </c>
      <c r="G18" s="209">
        <f>-ROUND(G95,-1)</f>
        <v>-5547400</v>
      </c>
      <c r="H18" s="209">
        <f>-ROUND(H95,-1)</f>
        <v>-5658300</v>
      </c>
    </row>
    <row r="19" spans="2:9" ht="12.75" customHeight="1" thickBot="1">
      <c r="B19" s="205">
        <f>B18+1</f>
        <v>6</v>
      </c>
      <c r="C19" s="51" t="s">
        <v>71</v>
      </c>
      <c r="D19" s="51"/>
      <c r="E19" s="113">
        <f>SUM(E12:E18)</f>
        <v>5940690</v>
      </c>
      <c r="F19" s="53">
        <f>SUM(F12:F18)</f>
        <v>8100500</v>
      </c>
      <c r="G19" s="56">
        <f>SUM(G12:G18)</f>
        <v>8815430</v>
      </c>
      <c r="H19" s="56" t="e">
        <f>SUM(H12:H18)</f>
        <v>#REF!</v>
      </c>
    </row>
    <row r="20" spans="2:9" ht="9" customHeight="1">
      <c r="B20" s="206"/>
      <c r="C20" s="207"/>
      <c r="D20" s="193"/>
      <c r="E20" s="208"/>
      <c r="F20" s="209"/>
      <c r="G20" s="210"/>
      <c r="H20" s="210"/>
    </row>
    <row r="21" spans="2:9">
      <c r="B21" s="206"/>
      <c r="C21" s="57" t="s">
        <v>72</v>
      </c>
      <c r="D21" s="207"/>
      <c r="E21" s="208"/>
      <c r="F21" s="209"/>
      <c r="G21" s="210"/>
      <c r="H21" s="210"/>
    </row>
    <row r="22" spans="2:9" ht="6.75" customHeight="1">
      <c r="B22" s="206"/>
      <c r="C22" s="207"/>
      <c r="D22" s="207"/>
      <c r="E22" s="208"/>
      <c r="F22" s="209"/>
      <c r="G22" s="210"/>
      <c r="H22" s="210"/>
    </row>
    <row r="23" spans="2:9" ht="13.5" customHeight="1">
      <c r="B23" s="206">
        <f>B19+1</f>
        <v>7</v>
      </c>
      <c r="C23" t="s">
        <v>249</v>
      </c>
      <c r="D23" s="207"/>
      <c r="E23" s="208">
        <v>-35000</v>
      </c>
      <c r="F23" s="209">
        <f>E23</f>
        <v>-35000</v>
      </c>
      <c r="G23" s="209">
        <f>F23</f>
        <v>-35000</v>
      </c>
      <c r="H23" s="209">
        <f>G23</f>
        <v>-35000</v>
      </c>
    </row>
    <row r="24" spans="2:9" ht="13.5" customHeight="1">
      <c r="B24" s="206">
        <f t="shared" ref="B24:B44" si="0">B23+1</f>
        <v>8</v>
      </c>
      <c r="C24" t="s">
        <v>79</v>
      </c>
      <c r="D24" s="207"/>
      <c r="E24" s="208">
        <v>-24990</v>
      </c>
      <c r="F24" s="209">
        <v>-25210</v>
      </c>
      <c r="G24" s="209">
        <v>-25420</v>
      </c>
      <c r="H24" s="209">
        <f>-25420-210</f>
        <v>-25630</v>
      </c>
      <c r="I24" s="59"/>
    </row>
    <row r="25" spans="2:9" ht="13.5" customHeight="1">
      <c r="B25" s="206">
        <f t="shared" si="0"/>
        <v>9</v>
      </c>
      <c r="C25" t="s">
        <v>84</v>
      </c>
      <c r="D25" s="207"/>
      <c r="E25" s="208">
        <v>-40000</v>
      </c>
      <c r="F25" s="209">
        <f t="shared" ref="F25:H33" si="1">E25</f>
        <v>-40000</v>
      </c>
      <c r="G25" s="209">
        <f t="shared" si="1"/>
        <v>-40000</v>
      </c>
      <c r="H25" s="209">
        <f t="shared" si="1"/>
        <v>-40000</v>
      </c>
    </row>
    <row r="26" spans="2:9" ht="13.5" customHeight="1">
      <c r="B26" s="206">
        <f t="shared" si="0"/>
        <v>10</v>
      </c>
      <c r="C26" t="s">
        <v>284</v>
      </c>
      <c r="D26" s="207"/>
      <c r="E26" s="208">
        <v>-30000</v>
      </c>
      <c r="F26" s="209">
        <f t="shared" si="1"/>
        <v>-30000</v>
      </c>
      <c r="G26" s="209">
        <f t="shared" si="1"/>
        <v>-30000</v>
      </c>
      <c r="H26" s="209">
        <f t="shared" si="1"/>
        <v>-30000</v>
      </c>
    </row>
    <row r="27" spans="2:9" ht="13.5" customHeight="1">
      <c r="B27" s="206">
        <f t="shared" si="0"/>
        <v>11</v>
      </c>
      <c r="C27" t="s">
        <v>285</v>
      </c>
      <c r="D27" s="207"/>
      <c r="E27" s="208">
        <v>-37000</v>
      </c>
      <c r="F27" s="209">
        <f t="shared" si="1"/>
        <v>-37000</v>
      </c>
      <c r="G27" s="209">
        <f t="shared" si="1"/>
        <v>-37000</v>
      </c>
      <c r="H27" s="209">
        <f t="shared" si="1"/>
        <v>-37000</v>
      </c>
    </row>
    <row r="28" spans="2:9" ht="13.5" customHeight="1">
      <c r="B28" s="206">
        <f t="shared" si="0"/>
        <v>12</v>
      </c>
      <c r="C28" t="s">
        <v>95</v>
      </c>
      <c r="D28" s="207"/>
      <c r="E28" s="208">
        <v>-52800</v>
      </c>
      <c r="F28" s="209">
        <f t="shared" si="1"/>
        <v>-52800</v>
      </c>
      <c r="G28" s="209">
        <f t="shared" si="1"/>
        <v>-52800</v>
      </c>
      <c r="H28" s="209">
        <f t="shared" si="1"/>
        <v>-52800</v>
      </c>
    </row>
    <row r="29" spans="2:9" ht="13.5" customHeight="1">
      <c r="B29" s="206">
        <f t="shared" si="0"/>
        <v>13</v>
      </c>
      <c r="C29" t="s">
        <v>286</v>
      </c>
      <c r="D29" s="207"/>
      <c r="E29" s="208">
        <v>-25000</v>
      </c>
      <c r="F29" s="209">
        <f t="shared" si="1"/>
        <v>-25000</v>
      </c>
      <c r="G29" s="209">
        <f t="shared" si="1"/>
        <v>-25000</v>
      </c>
      <c r="H29" s="209">
        <f t="shared" si="1"/>
        <v>-25000</v>
      </c>
    </row>
    <row r="30" spans="2:9" ht="13.5" customHeight="1">
      <c r="B30" s="206">
        <f t="shared" si="0"/>
        <v>14</v>
      </c>
      <c r="C30" t="s">
        <v>73</v>
      </c>
      <c r="D30" s="207"/>
      <c r="E30" s="208">
        <v>-70000</v>
      </c>
      <c r="F30" s="209">
        <f t="shared" si="1"/>
        <v>-70000</v>
      </c>
      <c r="G30" s="209">
        <f t="shared" si="1"/>
        <v>-70000</v>
      </c>
      <c r="H30" s="209">
        <f t="shared" si="1"/>
        <v>-70000</v>
      </c>
    </row>
    <row r="31" spans="2:9" ht="13.5" customHeight="1">
      <c r="B31" s="206">
        <f t="shared" si="0"/>
        <v>15</v>
      </c>
      <c r="C31" t="s">
        <v>74</v>
      </c>
      <c r="D31" s="207"/>
      <c r="E31" s="208">
        <v>-30000</v>
      </c>
      <c r="F31" s="209">
        <f t="shared" si="1"/>
        <v>-30000</v>
      </c>
      <c r="G31" s="209">
        <f t="shared" si="1"/>
        <v>-30000</v>
      </c>
      <c r="H31" s="209">
        <f t="shared" si="1"/>
        <v>-30000</v>
      </c>
    </row>
    <row r="32" spans="2:9" ht="13.5" customHeight="1">
      <c r="B32" s="206">
        <f t="shared" si="0"/>
        <v>16</v>
      </c>
      <c r="C32" t="s">
        <v>287</v>
      </c>
      <c r="D32" s="207"/>
      <c r="E32" s="208">
        <v>-160000</v>
      </c>
      <c r="F32" s="209">
        <f t="shared" si="1"/>
        <v>-160000</v>
      </c>
      <c r="G32" s="209">
        <f t="shared" si="1"/>
        <v>-160000</v>
      </c>
      <c r="H32" s="209">
        <f t="shared" si="1"/>
        <v>-160000</v>
      </c>
    </row>
    <row r="33" spans="2:8" ht="13.5" customHeight="1">
      <c r="B33" s="206">
        <f t="shared" si="0"/>
        <v>17</v>
      </c>
      <c r="C33" t="s">
        <v>288</v>
      </c>
      <c r="D33" s="207"/>
      <c r="E33" s="208">
        <v>-50000</v>
      </c>
      <c r="F33" s="209">
        <f t="shared" si="1"/>
        <v>-50000</v>
      </c>
      <c r="G33" s="209">
        <f t="shared" si="1"/>
        <v>-50000</v>
      </c>
      <c r="H33" s="209">
        <f t="shared" si="1"/>
        <v>-50000</v>
      </c>
    </row>
    <row r="34" spans="2:8" ht="13.5" customHeight="1">
      <c r="B34" s="206">
        <f t="shared" si="0"/>
        <v>18</v>
      </c>
      <c r="C34" t="s">
        <v>83</v>
      </c>
      <c r="D34" s="207"/>
      <c r="E34" s="208">
        <v>-15000</v>
      </c>
      <c r="F34" s="209">
        <v>-15380</v>
      </c>
      <c r="G34" s="209">
        <v>-15760</v>
      </c>
      <c r="H34" s="209">
        <f>ROUND(G34*1.02,-1)</f>
        <v>-16080</v>
      </c>
    </row>
    <row r="35" spans="2:8" ht="13.5" customHeight="1">
      <c r="B35" s="206">
        <f t="shared" si="0"/>
        <v>19</v>
      </c>
      <c r="C35" t="s">
        <v>289</v>
      </c>
      <c r="D35" s="207"/>
      <c r="E35" s="208">
        <v>-10000</v>
      </c>
      <c r="F35" s="209">
        <f t="shared" ref="F35:H43" si="2">E35</f>
        <v>-10000</v>
      </c>
      <c r="G35" s="209">
        <f t="shared" si="2"/>
        <v>-10000</v>
      </c>
      <c r="H35" s="209">
        <f t="shared" si="2"/>
        <v>-10000</v>
      </c>
    </row>
    <row r="36" spans="2:8" ht="13.5" customHeight="1">
      <c r="B36" s="206">
        <f t="shared" si="0"/>
        <v>20</v>
      </c>
      <c r="C36" t="s">
        <v>290</v>
      </c>
      <c r="D36" s="207"/>
      <c r="E36" s="208">
        <v>-12000</v>
      </c>
      <c r="F36" s="209">
        <f t="shared" si="2"/>
        <v>-12000</v>
      </c>
      <c r="G36" s="209">
        <f t="shared" si="2"/>
        <v>-12000</v>
      </c>
      <c r="H36" s="209">
        <f t="shared" si="2"/>
        <v>-12000</v>
      </c>
    </row>
    <row r="37" spans="2:8" ht="13.5" customHeight="1">
      <c r="B37" s="206">
        <f t="shared" si="0"/>
        <v>21</v>
      </c>
      <c r="C37" t="s">
        <v>291</v>
      </c>
      <c r="D37" s="207"/>
      <c r="E37" s="208">
        <v>-20000</v>
      </c>
      <c r="F37" s="209">
        <f t="shared" si="2"/>
        <v>-20000</v>
      </c>
      <c r="G37" s="209">
        <f t="shared" si="2"/>
        <v>-20000</v>
      </c>
      <c r="H37" s="209">
        <f t="shared" si="2"/>
        <v>-20000</v>
      </c>
    </row>
    <row r="38" spans="2:8" ht="13.5" customHeight="1">
      <c r="B38" s="206">
        <f t="shared" si="0"/>
        <v>22</v>
      </c>
      <c r="C38" t="s">
        <v>80</v>
      </c>
      <c r="D38" s="207"/>
      <c r="E38" s="208">
        <v>-100000</v>
      </c>
      <c r="F38" s="209">
        <f t="shared" si="2"/>
        <v>-100000</v>
      </c>
      <c r="G38" s="209">
        <f t="shared" si="2"/>
        <v>-100000</v>
      </c>
      <c r="H38" s="209">
        <f t="shared" si="2"/>
        <v>-100000</v>
      </c>
    </row>
    <row r="39" spans="2:8" ht="13.5" customHeight="1">
      <c r="B39" s="206">
        <f t="shared" si="0"/>
        <v>23</v>
      </c>
      <c r="C39" t="s">
        <v>292</v>
      </c>
      <c r="D39" s="207"/>
      <c r="E39" s="208">
        <v>-37000</v>
      </c>
      <c r="F39" s="209">
        <f t="shared" si="2"/>
        <v>-37000</v>
      </c>
      <c r="G39" s="209">
        <f t="shared" si="2"/>
        <v>-37000</v>
      </c>
      <c r="H39" s="209">
        <f t="shared" si="2"/>
        <v>-37000</v>
      </c>
    </row>
    <row r="40" spans="2:8" ht="13.5" customHeight="1">
      <c r="B40" s="206">
        <f t="shared" si="0"/>
        <v>24</v>
      </c>
      <c r="C40" t="s">
        <v>293</v>
      </c>
      <c r="D40" s="207"/>
      <c r="E40" s="208">
        <v>-66000</v>
      </c>
      <c r="F40" s="209">
        <f t="shared" si="2"/>
        <v>-66000</v>
      </c>
      <c r="G40" s="209">
        <f t="shared" si="2"/>
        <v>-66000</v>
      </c>
      <c r="H40" s="209">
        <f t="shared" si="2"/>
        <v>-66000</v>
      </c>
    </row>
    <row r="41" spans="2:8" ht="13.5" customHeight="1">
      <c r="B41" s="206">
        <f t="shared" si="0"/>
        <v>25</v>
      </c>
      <c r="C41" t="s">
        <v>94</v>
      </c>
      <c r="D41" s="207"/>
      <c r="E41" s="208">
        <v>-50000</v>
      </c>
      <c r="F41" s="209">
        <f t="shared" si="2"/>
        <v>-50000</v>
      </c>
      <c r="G41" s="209">
        <f t="shared" si="2"/>
        <v>-50000</v>
      </c>
      <c r="H41" s="209">
        <f t="shared" si="2"/>
        <v>-50000</v>
      </c>
    </row>
    <row r="42" spans="2:8" ht="13.5" customHeight="1">
      <c r="B42" s="206">
        <f t="shared" si="0"/>
        <v>26</v>
      </c>
      <c r="C42" t="s">
        <v>294</v>
      </c>
      <c r="D42" s="207"/>
      <c r="E42" s="208">
        <v>-50000</v>
      </c>
      <c r="F42" s="209">
        <f t="shared" si="2"/>
        <v>-50000</v>
      </c>
      <c r="G42" s="209">
        <f t="shared" si="2"/>
        <v>-50000</v>
      </c>
      <c r="H42" s="209">
        <f t="shared" si="2"/>
        <v>-50000</v>
      </c>
    </row>
    <row r="43" spans="2:8" ht="13.5" customHeight="1">
      <c r="B43" s="206">
        <f t="shared" si="0"/>
        <v>27</v>
      </c>
      <c r="C43" t="s">
        <v>295</v>
      </c>
      <c r="D43" s="207"/>
      <c r="E43" s="208">
        <v>-50000</v>
      </c>
      <c r="F43" s="209">
        <f t="shared" si="2"/>
        <v>-50000</v>
      </c>
      <c r="G43" s="209">
        <f t="shared" si="2"/>
        <v>-50000</v>
      </c>
      <c r="H43" s="209">
        <f t="shared" si="2"/>
        <v>-50000</v>
      </c>
    </row>
    <row r="44" spans="2:8" ht="13.5" customHeight="1">
      <c r="B44" s="206">
        <f t="shared" si="0"/>
        <v>28</v>
      </c>
      <c r="C44" t="s">
        <v>296</v>
      </c>
      <c r="D44" s="207"/>
      <c r="E44" s="208"/>
      <c r="F44" s="209"/>
      <c r="G44" s="209"/>
      <c r="H44" s="209"/>
    </row>
    <row r="45" spans="2:8" ht="13.5" customHeight="1">
      <c r="B45" s="206"/>
      <c r="C45" t="s">
        <v>297</v>
      </c>
      <c r="D45" s="207"/>
      <c r="E45" s="208">
        <v>-5000</v>
      </c>
      <c r="F45" s="209">
        <f t="shared" ref="F45:H46" si="3">E45</f>
        <v>-5000</v>
      </c>
      <c r="G45" s="209">
        <f t="shared" si="3"/>
        <v>-5000</v>
      </c>
      <c r="H45" s="209">
        <f t="shared" si="3"/>
        <v>-5000</v>
      </c>
    </row>
    <row r="46" spans="2:8" ht="13.5" customHeight="1">
      <c r="B46" s="206"/>
      <c r="C46" t="s">
        <v>298</v>
      </c>
      <c r="D46" s="207"/>
      <c r="E46" s="208">
        <v>-14050</v>
      </c>
      <c r="F46" s="209">
        <f t="shared" si="3"/>
        <v>-14050</v>
      </c>
      <c r="G46" s="209">
        <f t="shared" si="3"/>
        <v>-14050</v>
      </c>
      <c r="H46" s="209">
        <f t="shared" si="3"/>
        <v>-14050</v>
      </c>
    </row>
    <row r="47" spans="2:8" ht="13.5" customHeight="1">
      <c r="B47" s="206"/>
      <c r="C47" t="s">
        <v>299</v>
      </c>
      <c r="D47" s="207"/>
      <c r="E47" s="208">
        <v>-30000</v>
      </c>
      <c r="F47" s="209">
        <f t="shared" ref="F47:H48" si="4">ROUND(E47*1.02,-1)</f>
        <v>-30600</v>
      </c>
      <c r="G47" s="209">
        <f t="shared" si="4"/>
        <v>-31210</v>
      </c>
      <c r="H47" s="209">
        <f t="shared" si="4"/>
        <v>-31830</v>
      </c>
    </row>
    <row r="48" spans="2:8" ht="13.5" customHeight="1">
      <c r="B48" s="206"/>
      <c r="C48" t="s">
        <v>300</v>
      </c>
      <c r="D48" s="207"/>
      <c r="E48" s="208">
        <v>-100000</v>
      </c>
      <c r="F48" s="209">
        <f t="shared" si="4"/>
        <v>-102000</v>
      </c>
      <c r="G48" s="209">
        <f t="shared" si="4"/>
        <v>-104040</v>
      </c>
      <c r="H48" s="209">
        <f t="shared" si="4"/>
        <v>-106120</v>
      </c>
    </row>
    <row r="49" spans="2:11" ht="13.5" customHeight="1">
      <c r="B49" s="206">
        <f>B44+1</f>
        <v>29</v>
      </c>
      <c r="C49" t="s">
        <v>301</v>
      </c>
      <c r="D49" s="207"/>
      <c r="E49" s="208">
        <v>-279900</v>
      </c>
      <c r="F49" s="209">
        <f>E49</f>
        <v>-279900</v>
      </c>
      <c r="G49" s="209">
        <f>F49</f>
        <v>-279900</v>
      </c>
      <c r="H49" s="209">
        <f>G49</f>
        <v>-279900</v>
      </c>
    </row>
    <row r="50" spans="2:11" ht="13.5" customHeight="1">
      <c r="B50" s="206"/>
      <c r="C50" s="111"/>
      <c r="D50" s="207"/>
      <c r="E50" s="208"/>
      <c r="F50" s="209"/>
      <c r="G50" s="209"/>
      <c r="H50" s="209"/>
    </row>
    <row r="51" spans="2:11">
      <c r="B51" s="206">
        <f>B49+1</f>
        <v>30</v>
      </c>
      <c r="C51" s="57" t="s">
        <v>97</v>
      </c>
      <c r="D51" s="57"/>
      <c r="E51" s="114">
        <f>SUM(E23:E50)</f>
        <v>-1393740</v>
      </c>
      <c r="F51" s="61">
        <f>SUM(F23:F50)</f>
        <v>-1396940</v>
      </c>
      <c r="G51" s="61">
        <f>SUM(G23:G50)</f>
        <v>-1400180</v>
      </c>
      <c r="H51" s="61">
        <f>SUM(H23:H50)</f>
        <v>-1403410</v>
      </c>
      <c r="I51" s="59">
        <f>E51</f>
        <v>-1393740</v>
      </c>
      <c r="J51" s="59">
        <f>F51-E51</f>
        <v>-3200</v>
      </c>
      <c r="K51" s="59">
        <f>G51-F51</f>
        <v>-3240</v>
      </c>
    </row>
    <row r="52" spans="2:11" ht="4.5" customHeight="1">
      <c r="B52" s="206"/>
      <c r="C52" s="57"/>
      <c r="D52" s="57"/>
      <c r="E52" s="115"/>
      <c r="F52" s="83"/>
      <c r="G52" s="83"/>
      <c r="H52" s="83"/>
    </row>
    <row r="53" spans="2:11" ht="4.5" customHeight="1">
      <c r="B53" s="206"/>
      <c r="C53" s="207"/>
      <c r="D53" s="207"/>
      <c r="E53" s="208"/>
      <c r="F53" s="209"/>
      <c r="G53" s="210"/>
      <c r="H53" s="210"/>
    </row>
    <row r="54" spans="2:11">
      <c r="B54" s="206">
        <f>B51+1</f>
        <v>31</v>
      </c>
      <c r="C54" s="58" t="s">
        <v>16</v>
      </c>
      <c r="D54" s="207"/>
      <c r="E54" s="211">
        <f>E89</f>
        <v>-1350430</v>
      </c>
      <c r="F54" s="212">
        <f>F89</f>
        <v>-1503510</v>
      </c>
      <c r="G54" s="213">
        <f>G89</f>
        <v>-1503990</v>
      </c>
      <c r="H54" s="213">
        <f>H89</f>
        <v>-1000000</v>
      </c>
    </row>
    <row r="55" spans="2:11">
      <c r="B55" s="206"/>
      <c r="C55" s="58"/>
      <c r="D55" s="207"/>
      <c r="E55" s="211"/>
      <c r="F55" s="212"/>
      <c r="G55" s="213"/>
      <c r="H55" s="213"/>
    </row>
    <row r="56" spans="2:11">
      <c r="B56" s="206">
        <f>B54+1</f>
        <v>32</v>
      </c>
      <c r="C56" s="58" t="s">
        <v>98</v>
      </c>
      <c r="D56" s="207"/>
      <c r="E56" s="211">
        <v>0</v>
      </c>
      <c r="F56" s="212">
        <v>0</v>
      </c>
      <c r="G56" s="213">
        <f>-F58</f>
        <v>-5200050</v>
      </c>
      <c r="H56" s="213">
        <f>G56-G58</f>
        <v>-5911260</v>
      </c>
    </row>
    <row r="57" spans="2:11" ht="13.9" thickBot="1">
      <c r="B57" s="206"/>
      <c r="C57" s="58"/>
      <c r="D57" s="207"/>
      <c r="E57" s="211"/>
      <c r="F57" s="212"/>
      <c r="G57" s="213"/>
      <c r="H57" s="213"/>
    </row>
    <row r="58" spans="2:11" ht="12.75" customHeight="1" thickBot="1">
      <c r="B58" s="62">
        <f>B56+1</f>
        <v>33</v>
      </c>
      <c r="C58" s="51" t="s">
        <v>99</v>
      </c>
      <c r="D58" s="51"/>
      <c r="E58" s="113">
        <f>E19+E51+E54</f>
        <v>3196520</v>
      </c>
      <c r="F58" s="113">
        <f>F19+F51+F54</f>
        <v>5200050</v>
      </c>
      <c r="G58" s="113">
        <f>G19+G51+G54+G56</f>
        <v>711210</v>
      </c>
      <c r="H58" s="113" t="e">
        <f>H19+H51+H54+H56</f>
        <v>#REF!</v>
      </c>
    </row>
    <row r="59" spans="2:11" ht="13.9" thickBot="1"/>
    <row r="60" spans="2:11" ht="13.9" thickBot="1">
      <c r="B60" s="63">
        <f>B58+1</f>
        <v>34</v>
      </c>
      <c r="C60" s="64" t="s">
        <v>100</v>
      </c>
      <c r="D60" s="64"/>
      <c r="E60" s="116">
        <f>E58</f>
        <v>3196520</v>
      </c>
      <c r="F60" s="66">
        <f>E60+F58</f>
        <v>8396570</v>
      </c>
      <c r="G60" s="66">
        <f>F60+G58</f>
        <v>9107780</v>
      </c>
      <c r="H60" s="67" t="e">
        <f>G60+H58</f>
        <v>#REF!</v>
      </c>
    </row>
    <row r="61" spans="2:11" ht="13.9" thickBot="1">
      <c r="F61" s="59"/>
    </row>
    <row r="62" spans="2:11" ht="18" thickBot="1">
      <c r="B62" s="254" t="s">
        <v>101</v>
      </c>
      <c r="C62" s="255"/>
      <c r="D62" s="255"/>
      <c r="E62" s="255"/>
      <c r="F62" s="255"/>
      <c r="G62" s="255"/>
      <c r="H62" s="256"/>
    </row>
    <row r="63" spans="2:11">
      <c r="B63" s="87"/>
      <c r="C63" s="88"/>
      <c r="D63" s="88"/>
      <c r="E63" s="214"/>
      <c r="F63" s="215"/>
      <c r="G63" s="215"/>
      <c r="H63" s="216"/>
    </row>
    <row r="64" spans="2:11">
      <c r="B64" s="68"/>
      <c r="C64" s="165" t="s">
        <v>102</v>
      </c>
      <c r="E64" s="217"/>
      <c r="F64" s="217"/>
      <c r="G64" s="217"/>
      <c r="H64" s="218"/>
    </row>
    <row r="65" spans="2:8">
      <c r="B65" s="219"/>
      <c r="C65" s="165" t="s">
        <v>103</v>
      </c>
      <c r="D65" s="220"/>
      <c r="E65" s="217"/>
      <c r="F65" s="217"/>
      <c r="G65" s="217"/>
      <c r="H65" s="218"/>
    </row>
    <row r="66" spans="2:8">
      <c r="B66" s="219"/>
      <c r="C66" s="165" t="s">
        <v>104</v>
      </c>
      <c r="D66" s="220"/>
      <c r="E66" s="217"/>
      <c r="F66" s="217"/>
      <c r="G66" s="217"/>
      <c r="H66" s="218"/>
    </row>
    <row r="68" spans="2:8">
      <c r="B68" s="219"/>
      <c r="C68" s="165" t="s">
        <v>105</v>
      </c>
      <c r="D68" s="220"/>
      <c r="E68" s="217">
        <v>-65000</v>
      </c>
      <c r="F68" s="217">
        <v>0</v>
      </c>
      <c r="G68" s="217">
        <v>0</v>
      </c>
      <c r="H68" s="218"/>
    </row>
    <row r="69" spans="2:8">
      <c r="B69" s="219"/>
      <c r="C69" s="165" t="s">
        <v>106</v>
      </c>
      <c r="D69" s="220"/>
      <c r="E69" s="217">
        <v>-22690</v>
      </c>
      <c r="F69" s="217">
        <v>-21640</v>
      </c>
      <c r="G69" s="217">
        <v>-22120</v>
      </c>
      <c r="H69" s="218"/>
    </row>
    <row r="70" spans="2:8">
      <c r="B70" s="219"/>
      <c r="C70" s="165" t="s">
        <v>107</v>
      </c>
      <c r="D70" s="220"/>
      <c r="E70" s="217">
        <v>-241510</v>
      </c>
      <c r="F70" s="217"/>
      <c r="G70" s="217"/>
      <c r="H70" s="218"/>
    </row>
    <row r="71" spans="2:8">
      <c r="B71" s="219"/>
      <c r="C71" s="165" t="s">
        <v>108</v>
      </c>
      <c r="D71" s="220"/>
      <c r="E71" s="217"/>
      <c r="F71" s="217"/>
      <c r="G71" s="217"/>
      <c r="H71" s="218"/>
    </row>
    <row r="72" spans="2:8">
      <c r="B72" s="219"/>
      <c r="C72" s="165" t="s">
        <v>109</v>
      </c>
      <c r="D72" s="220"/>
      <c r="E72" s="217"/>
      <c r="F72" s="217"/>
      <c r="G72" s="217"/>
      <c r="H72" s="218"/>
    </row>
    <row r="73" spans="2:8">
      <c r="B73" s="219"/>
      <c r="C73" s="165" t="s">
        <v>110</v>
      </c>
      <c r="D73" s="220"/>
      <c r="E73" s="217">
        <v>-175000</v>
      </c>
      <c r="F73" s="217">
        <v>-75000</v>
      </c>
      <c r="G73" s="217">
        <v>-75000</v>
      </c>
      <c r="H73" s="218"/>
    </row>
    <row r="74" spans="2:8">
      <c r="B74" s="219"/>
      <c r="C74" s="165" t="s">
        <v>111</v>
      </c>
      <c r="D74" s="220"/>
      <c r="E74" s="217"/>
      <c r="F74" s="217"/>
      <c r="G74" s="217"/>
      <c r="H74" s="218"/>
    </row>
    <row r="75" spans="2:8">
      <c r="B75" s="219"/>
      <c r="C75" s="165" t="s">
        <v>112</v>
      </c>
      <c r="D75" s="220"/>
      <c r="E75" s="217">
        <v>-100000</v>
      </c>
      <c r="F75" s="217">
        <v>-100000</v>
      </c>
      <c r="G75" s="217">
        <v>-100000</v>
      </c>
      <c r="H75" s="218"/>
    </row>
    <row r="76" spans="2:8">
      <c r="B76" s="219"/>
      <c r="C76" s="165" t="s">
        <v>113</v>
      </c>
      <c r="D76" s="220"/>
      <c r="E76" s="220">
        <v>74520</v>
      </c>
      <c r="F76" s="221"/>
      <c r="G76" s="221"/>
      <c r="H76" s="218"/>
    </row>
    <row r="77" spans="2:8">
      <c r="B77" s="219"/>
      <c r="C77" s="165" t="s">
        <v>114</v>
      </c>
      <c r="D77" s="220"/>
      <c r="E77" s="220">
        <v>193130</v>
      </c>
      <c r="F77" s="221">
        <v>193130</v>
      </c>
      <c r="G77" s="221">
        <v>193130</v>
      </c>
      <c r="H77" s="218"/>
    </row>
    <row r="78" spans="2:8">
      <c r="B78" s="219"/>
      <c r="C78" s="165" t="s">
        <v>115</v>
      </c>
      <c r="D78" s="220"/>
      <c r="E78" s="217">
        <v>-100000</v>
      </c>
      <c r="F78" s="217"/>
      <c r="G78" s="217"/>
      <c r="H78" s="218"/>
    </row>
    <row r="79" spans="2:8">
      <c r="B79" s="219"/>
      <c r="C79" s="222" t="s">
        <v>116</v>
      </c>
      <c r="D79" s="220"/>
      <c r="E79" s="220">
        <v>-74940</v>
      </c>
      <c r="F79" s="221"/>
      <c r="G79" s="221"/>
      <c r="H79" s="218"/>
    </row>
    <row r="80" spans="2:8">
      <c r="B80" s="219"/>
      <c r="C80" s="222"/>
      <c r="D80" s="220"/>
      <c r="E80" s="220"/>
      <c r="F80" s="221"/>
      <c r="G80" s="221"/>
      <c r="H80" s="218"/>
    </row>
    <row r="81" spans="2:8">
      <c r="B81" s="219"/>
      <c r="C81" s="69"/>
      <c r="D81" s="220"/>
      <c r="E81" s="220"/>
      <c r="F81" s="221"/>
      <c r="G81" s="221"/>
      <c r="H81" s="218"/>
    </row>
    <row r="82" spans="2:8">
      <c r="B82" s="219"/>
      <c r="C82" s="69"/>
      <c r="D82" s="223"/>
      <c r="E82" s="220"/>
      <c r="F82" s="221"/>
      <c r="G82" s="221"/>
      <c r="H82" s="218"/>
    </row>
    <row r="83" spans="2:8">
      <c r="B83" s="219"/>
      <c r="C83" s="69" t="s">
        <v>117</v>
      </c>
      <c r="D83" s="48"/>
      <c r="E83" s="224">
        <f>SUM(E64:E82)</f>
        <v>-511490</v>
      </c>
      <c r="F83" s="224">
        <f>SUM(F64:F82)</f>
        <v>-3510</v>
      </c>
      <c r="G83" s="224">
        <f>SUM(G64:G82)</f>
        <v>-3990</v>
      </c>
      <c r="H83" s="224">
        <f>SUM(H64:H82)</f>
        <v>0</v>
      </c>
    </row>
    <row r="84" spans="2:8">
      <c r="B84" s="68"/>
      <c r="E84" s="220"/>
      <c r="F84" s="221"/>
      <c r="G84" s="221"/>
      <c r="H84" s="225"/>
    </row>
    <row r="85" spans="2:8">
      <c r="B85" s="68"/>
      <c r="C85" s="69" t="s">
        <v>118</v>
      </c>
      <c r="E85" s="217">
        <v>-1000000</v>
      </c>
      <c r="F85" s="217">
        <v>-1500000</v>
      </c>
      <c r="G85" s="217">
        <v>-1500000</v>
      </c>
      <c r="H85" s="217">
        <v>-1000000</v>
      </c>
    </row>
    <row r="86" spans="2:8">
      <c r="B86" s="68"/>
      <c r="C86" s="69"/>
      <c r="E86" s="227">
        <f>205590-44530</f>
        <v>161060</v>
      </c>
      <c r="F86" s="228"/>
      <c r="G86" s="228"/>
      <c r="H86" s="225"/>
    </row>
    <row r="87" spans="2:8">
      <c r="B87" s="68"/>
      <c r="E87" s="224">
        <f>SUM(E85:E86)</f>
        <v>-838940</v>
      </c>
      <c r="F87" s="226">
        <f>SUM(F85:F86)</f>
        <v>-1500000</v>
      </c>
      <c r="G87" s="226">
        <f>SUM(G85:G86)</f>
        <v>-1500000</v>
      </c>
      <c r="H87" s="90">
        <f>SUM(H85:H86)</f>
        <v>-1000000</v>
      </c>
    </row>
    <row r="88" spans="2:8" ht="13.9" thickBot="1">
      <c r="B88" s="68"/>
      <c r="E88" s="220"/>
      <c r="F88" s="221"/>
      <c r="G88" s="221"/>
      <c r="H88" s="225"/>
    </row>
    <row r="89" spans="2:8" ht="13.9" thickBot="1">
      <c r="B89" s="70"/>
      <c r="C89" s="71" t="s">
        <v>121</v>
      </c>
      <c r="D89" s="72"/>
      <c r="E89" s="65">
        <f>E83+E87</f>
        <v>-1350430</v>
      </c>
      <c r="F89" s="73">
        <f>F83+F87</f>
        <v>-1503510</v>
      </c>
      <c r="G89" s="73">
        <f>G83+G87</f>
        <v>-1503990</v>
      </c>
      <c r="H89" s="73">
        <f>H83+H87</f>
        <v>-1000000</v>
      </c>
    </row>
    <row r="91" spans="2:8">
      <c r="B91" t="s">
        <v>122</v>
      </c>
      <c r="D91">
        <v>26084</v>
      </c>
      <c r="E91" s="74">
        <v>22181.599999999999</v>
      </c>
      <c r="F91" s="74">
        <f>E91</f>
        <v>22181.599999999999</v>
      </c>
      <c r="G91" s="74">
        <f>F91</f>
        <v>22181.599999999999</v>
      </c>
      <c r="H91" s="74">
        <f>G91</f>
        <v>22181.599999999999</v>
      </c>
    </row>
    <row r="92" spans="2:8" ht="13.9" thickBot="1">
      <c r="B92" t="s">
        <v>123</v>
      </c>
      <c r="E92" s="75">
        <v>0</v>
      </c>
      <c r="F92" s="75">
        <v>0.02</v>
      </c>
      <c r="G92" s="75">
        <v>0.02</v>
      </c>
      <c r="H92" s="75">
        <v>0.02</v>
      </c>
    </row>
    <row r="93" spans="2:8" ht="13.9" thickBot="1">
      <c r="B93" s="117" t="s">
        <v>124</v>
      </c>
      <c r="C93" s="118"/>
      <c r="D93" s="119">
        <v>240.38</v>
      </c>
      <c r="E93" s="121">
        <f>ROUND(D93*(1+E92),2)</f>
        <v>240.38</v>
      </c>
      <c r="F93" s="121">
        <f>ROUND(E93*(1+F92),2)</f>
        <v>245.19</v>
      </c>
      <c r="G93" s="121">
        <f>ROUND(F93*(1+G92),2)</f>
        <v>250.09</v>
      </c>
      <c r="H93" s="120">
        <f>ROUND(G93*(1+H92),2)</f>
        <v>255.09</v>
      </c>
    </row>
    <row r="94" spans="2:8" ht="13.9" thickBot="1"/>
    <row r="95" spans="2:8" ht="13.9" thickBot="1">
      <c r="C95" t="s">
        <v>125</v>
      </c>
      <c r="D95">
        <f>D91*D93</f>
        <v>6270071.9199999999</v>
      </c>
      <c r="E95" s="65">
        <f>E91*E93</f>
        <v>5332013.0079999994</v>
      </c>
      <c r="F95" s="78">
        <f>F91*F93</f>
        <v>5438706.5039999997</v>
      </c>
      <c r="G95" s="78">
        <f>G91*G93</f>
        <v>5547396.3439999996</v>
      </c>
      <c r="H95" s="79">
        <f>H91*H93</f>
        <v>5658304.3439999996</v>
      </c>
    </row>
    <row r="97" spans="2:8">
      <c r="E97" s="59">
        <f>E12+E51+E54</f>
        <v>16199780</v>
      </c>
      <c r="F97" s="59">
        <f>F12+F51+F54</f>
        <v>16922950</v>
      </c>
      <c r="G97" s="59">
        <f>G12+G51+G54</f>
        <v>17505180</v>
      </c>
      <c r="H97" s="59" t="e">
        <f>H12+H51+H54</f>
        <v>#REF!</v>
      </c>
    </row>
    <row r="99" spans="2:8">
      <c r="B99" s="80" t="s">
        <v>126</v>
      </c>
    </row>
    <row r="101" spans="2:8">
      <c r="B101" t="s">
        <v>127</v>
      </c>
      <c r="E101" s="59">
        <f>E12</f>
        <v>18943950</v>
      </c>
      <c r="F101" s="129">
        <f>F12</f>
        <v>19823400</v>
      </c>
      <c r="G101" s="129">
        <f>G12</f>
        <v>20409350</v>
      </c>
      <c r="H101" s="129" t="e">
        <f>H12</f>
        <v>#REF!</v>
      </c>
    </row>
    <row r="102" spans="2:8">
      <c r="B102" t="s">
        <v>128</v>
      </c>
      <c r="E102" s="59">
        <f>E51</f>
        <v>-1393740</v>
      </c>
      <c r="F102" s="129">
        <f>F51</f>
        <v>-1396940</v>
      </c>
      <c r="G102" s="129">
        <f>G51</f>
        <v>-1400180</v>
      </c>
      <c r="H102" s="129">
        <f>H51</f>
        <v>-1403410</v>
      </c>
    </row>
    <row r="103" spans="2:8">
      <c r="B103" t="s">
        <v>129</v>
      </c>
      <c r="E103" s="59"/>
      <c r="F103" s="129">
        <f>-F58</f>
        <v>-5200050</v>
      </c>
      <c r="G103" s="129">
        <f>-G58+F103</f>
        <v>-5911260</v>
      </c>
      <c r="H103" s="129" t="e">
        <f>-H58+G103</f>
        <v>#REF!</v>
      </c>
    </row>
    <row r="104" spans="2:8">
      <c r="B104" t="s">
        <v>130</v>
      </c>
      <c r="E104" s="59"/>
      <c r="F104" s="129"/>
      <c r="G104" s="129"/>
      <c r="H104" s="129"/>
    </row>
    <row r="105" spans="2:8">
      <c r="B105" t="s">
        <v>16</v>
      </c>
      <c r="E105" s="59">
        <f>E54</f>
        <v>-1350430</v>
      </c>
      <c r="F105" s="129">
        <f>F54</f>
        <v>-1503510</v>
      </c>
      <c r="G105" s="129">
        <f>G54</f>
        <v>-1503990</v>
      </c>
      <c r="H105" s="129">
        <f>H54</f>
        <v>-1000000</v>
      </c>
    </row>
    <row r="106" spans="2:8">
      <c r="B106" s="76" t="s">
        <v>131</v>
      </c>
      <c r="C106" s="76"/>
      <c r="D106" s="76"/>
      <c r="E106" s="81">
        <f>SUM(E101:E105)</f>
        <v>16199780</v>
      </c>
      <c r="F106" s="130">
        <f>SUM(F101:F105)</f>
        <v>11722900</v>
      </c>
      <c r="G106" s="130">
        <f>SUM(G101:G105)</f>
        <v>11593920</v>
      </c>
      <c r="H106" s="130" t="e">
        <f>SUM(H101:H105)</f>
        <v>#REF!</v>
      </c>
    </row>
    <row r="107" spans="2:8">
      <c r="B107" t="s">
        <v>132</v>
      </c>
      <c r="E107" s="59">
        <f t="shared" ref="E107:H108" si="5">E15</f>
        <v>-7448910</v>
      </c>
      <c r="F107" s="129">
        <f t="shared" si="5"/>
        <v>-6222020</v>
      </c>
      <c r="G107" s="129">
        <f t="shared" si="5"/>
        <v>-6046520</v>
      </c>
      <c r="H107" s="129">
        <f t="shared" si="5"/>
        <v>-5925590</v>
      </c>
    </row>
    <row r="108" spans="2:8">
      <c r="B108" t="s">
        <v>69</v>
      </c>
      <c r="E108" s="59">
        <f t="shared" si="5"/>
        <v>-160170</v>
      </c>
      <c r="F108" s="129">
        <f t="shared" si="5"/>
        <v>0</v>
      </c>
      <c r="G108" s="129">
        <f t="shared" si="5"/>
        <v>0</v>
      </c>
      <c r="H108" s="129">
        <f t="shared" si="5"/>
        <v>0</v>
      </c>
    </row>
    <row r="109" spans="2:8">
      <c r="B109" s="76" t="s">
        <v>126</v>
      </c>
      <c r="C109" s="76"/>
      <c r="D109" s="76"/>
      <c r="E109" s="81">
        <f>SUM(E106:E108)</f>
        <v>8590700</v>
      </c>
      <c r="F109" s="130">
        <f>SUM(F106:F108)</f>
        <v>5500880</v>
      </c>
      <c r="G109" s="130">
        <f>SUM(G106:G108)</f>
        <v>5547400</v>
      </c>
      <c r="H109" s="130" t="e">
        <f>SUM(H106:H108)</f>
        <v>#REF!</v>
      </c>
    </row>
    <row r="110" spans="2:8">
      <c r="F110" s="59"/>
    </row>
    <row r="111" spans="2:8">
      <c r="F111" s="59"/>
      <c r="G111" s="59"/>
      <c r="H111" s="59"/>
    </row>
    <row r="114" spans="3:5" ht="13.9" thickBot="1"/>
    <row r="115" spans="3:5" ht="16.149999999999999" thickTop="1">
      <c r="C115" s="251"/>
      <c r="E115" s="22" t="s">
        <v>1</v>
      </c>
    </row>
    <row r="116" spans="3:5" ht="15.6">
      <c r="C116" s="252"/>
      <c r="E116" s="23" t="s">
        <v>2</v>
      </c>
    </row>
    <row r="117" spans="3:5" ht="15.6">
      <c r="C117" s="252"/>
      <c r="E117" s="23" t="s">
        <v>6</v>
      </c>
    </row>
    <row r="118" spans="3:5" ht="16.149999999999999" thickBot="1">
      <c r="C118" s="253"/>
      <c r="E118" s="102">
        <v>0</v>
      </c>
    </row>
    <row r="119" spans="3:5" ht="15.6" thickTop="1">
      <c r="C119" s="26" t="s">
        <v>133</v>
      </c>
      <c r="E119" s="106">
        <f>E12/1000</f>
        <v>18943.95</v>
      </c>
    </row>
    <row r="120" spans="3:5" ht="16.149999999999999" thickBot="1">
      <c r="C120" s="26" t="s">
        <v>134</v>
      </c>
      <c r="E120" s="106">
        <f>SUM(E23:E50)/1000</f>
        <v>-1393.74</v>
      </c>
    </row>
    <row r="121" spans="3:5" ht="16.899999999999999" thickTop="1" thickBot="1">
      <c r="C121" s="131" t="s">
        <v>15</v>
      </c>
      <c r="E121" s="109">
        <f>SUM(E119:E120)</f>
        <v>17550.21</v>
      </c>
    </row>
    <row r="122" spans="3:5" ht="15.6" thickTop="1">
      <c r="C122" s="26" t="s">
        <v>16</v>
      </c>
      <c r="E122" s="28">
        <f>SUM(E54)/1000</f>
        <v>-1350.43</v>
      </c>
    </row>
    <row r="123" spans="3:5" ht="15">
      <c r="C123" s="26" t="s">
        <v>69</v>
      </c>
      <c r="E123" s="106">
        <f>E16/1000</f>
        <v>-160.16999999999999</v>
      </c>
    </row>
    <row r="124" spans="3:5" ht="15">
      <c r="C124" s="26" t="s">
        <v>135</v>
      </c>
      <c r="E124" s="106">
        <f>SUM(E15)/1000</f>
        <v>-7448.91</v>
      </c>
    </row>
    <row r="125" spans="3:5" ht="16.149999999999999" thickBot="1">
      <c r="C125" s="24" t="s">
        <v>126</v>
      </c>
      <c r="E125" s="31">
        <f>SUM(E121:E124)</f>
        <v>8590.6999999999989</v>
      </c>
    </row>
    <row r="126" spans="3:5" ht="13.9" thickTop="1"/>
  </sheetData>
  <mergeCells count="2">
    <mergeCell ref="B62:H62"/>
    <mergeCell ref="C115:C118"/>
  </mergeCells>
  <phoneticPr fontId="2" type="noConversion"/>
  <pageMargins left="0.39370078740157483" right="0.27559055118110237" top="0.84" bottom="0.51181102362204722" header="0.31496062992125984" footer="0.51181102362204722"/>
  <pageSetup paperSize="8" scale="78" orientation="portrait" r:id="rId1"/>
  <headerFooter alignWithMargins="0">
    <oddHeader>&amp;R&amp;"Arial,Bold"&amp;20Appendix J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F47"/>
  <sheetViews>
    <sheetView topLeftCell="A4" workbookViewId="0">
      <selection activeCell="C22" sqref="C22:E22"/>
    </sheetView>
  </sheetViews>
  <sheetFormatPr defaultRowHeight="13.15"/>
  <cols>
    <col min="1" max="1" width="3.7109375" customWidth="1"/>
    <col min="2" max="2" width="34.7109375" bestFit="1" customWidth="1"/>
    <col min="3" max="6" width="11.140625" bestFit="1" customWidth="1"/>
  </cols>
  <sheetData>
    <row r="1" spans="1:5" ht="15.6">
      <c r="A1" s="128" t="s">
        <v>302</v>
      </c>
    </row>
    <row r="3" spans="1:5">
      <c r="C3" s="123" t="str">
        <f>'[10]Financial Year'!$G$16</f>
        <v>2014/15</v>
      </c>
      <c r="D3" s="123" t="str">
        <f>'[10]Financial Year'!$G$17</f>
        <v>2015/16</v>
      </c>
      <c r="E3" s="123" t="str">
        <f>'[10]Financial Year'!$G$18</f>
        <v>2016/17</v>
      </c>
    </row>
    <row r="4" spans="1:5">
      <c r="C4" s="124" t="s">
        <v>1</v>
      </c>
      <c r="D4" s="124" t="s">
        <v>1</v>
      </c>
      <c r="E4" s="124" t="s">
        <v>1</v>
      </c>
    </row>
    <row r="5" spans="1:5">
      <c r="C5" s="124" t="s">
        <v>2</v>
      </c>
      <c r="D5" s="124" t="s">
        <v>2</v>
      </c>
      <c r="E5" s="124" t="s">
        <v>2</v>
      </c>
    </row>
    <row r="6" spans="1:5">
      <c r="C6" s="125" t="s">
        <v>24</v>
      </c>
      <c r="D6" s="125" t="s">
        <v>24</v>
      </c>
      <c r="E6" s="125" t="s">
        <v>24</v>
      </c>
    </row>
    <row r="8" spans="1:5">
      <c r="B8" t="s">
        <v>303</v>
      </c>
      <c r="C8" s="55">
        <v>1926840</v>
      </c>
      <c r="D8" s="55">
        <v>4164390</v>
      </c>
      <c r="E8" s="55">
        <v>6072060</v>
      </c>
    </row>
    <row r="9" spans="1:5">
      <c r="C9" s="55"/>
      <c r="D9" s="55"/>
      <c r="E9" s="55"/>
    </row>
    <row r="10" spans="1:5">
      <c r="B10" t="s">
        <v>26</v>
      </c>
      <c r="C10" s="55" t="e">
        <f>SUM('App A - Final Firming Up'!E13:E36)-C12-C11-C14</f>
        <v>#REF!</v>
      </c>
      <c r="D10" s="55" t="e">
        <f>SUM('App A - Final Firming Up'!F13:F36)-D12-D11-D14</f>
        <v>#REF!</v>
      </c>
      <c r="E10" s="55" t="e">
        <f>SUM('App A - Final Firming Up'!G13:G36)-E12-E11-E14</f>
        <v>#REF!</v>
      </c>
    </row>
    <row r="11" spans="1:5">
      <c r="B11" t="s">
        <v>304</v>
      </c>
      <c r="C11" s="55">
        <f>'App A - Final Firming Up'!E13</f>
        <v>-560000</v>
      </c>
      <c r="D11" s="55">
        <f>'App A - Final Firming Up'!F13</f>
        <v>-576800</v>
      </c>
      <c r="E11" s="55">
        <f>'App A - Final Firming Up'!G13</f>
        <v>-594100</v>
      </c>
    </row>
    <row r="12" spans="1:5">
      <c r="B12" t="s">
        <v>305</v>
      </c>
      <c r="C12" s="55" t="e">
        <f>'App A - Final Firming Up'!#REF!</f>
        <v>#REF!</v>
      </c>
      <c r="D12" s="55" t="e">
        <f>'App A - Final Firming Up'!#REF!</f>
        <v>#REF!</v>
      </c>
      <c r="E12" s="55" t="e">
        <f>'App A - Final Firming Up'!#REF!</f>
        <v>#REF!</v>
      </c>
    </row>
    <row r="13" spans="1:5">
      <c r="B13" t="s">
        <v>306</v>
      </c>
      <c r="C13" s="55"/>
      <c r="D13" s="55"/>
      <c r="E13" s="55"/>
    </row>
    <row r="14" spans="1:5">
      <c r="B14" t="s">
        <v>307</v>
      </c>
      <c r="C14" s="55" t="e">
        <f>'App A - Final Firming Up'!#REF!</f>
        <v>#REF!</v>
      </c>
      <c r="D14" s="55" t="e">
        <f>'App A - Final Firming Up'!#REF!</f>
        <v>#REF!</v>
      </c>
      <c r="E14" s="55" t="e">
        <f>'App A - Final Firming Up'!#REF!</f>
        <v>#REF!</v>
      </c>
    </row>
    <row r="15" spans="1:5">
      <c r="B15" t="s">
        <v>308</v>
      </c>
      <c r="C15" s="55">
        <f>360000-65000</f>
        <v>295000</v>
      </c>
      <c r="D15" s="55">
        <v>160000</v>
      </c>
      <c r="E15" s="55">
        <v>0</v>
      </c>
    </row>
    <row r="16" spans="1:5">
      <c r="B16" t="s">
        <v>309</v>
      </c>
      <c r="C16" s="55">
        <f>SUM('App A - Final Firming Up'!E37:E37)</f>
        <v>0</v>
      </c>
      <c r="D16" s="55">
        <f>SUM('App A - Final Firming Up'!F37:F37)</f>
        <v>0</v>
      </c>
      <c r="E16" s="55">
        <f>SUM('App A - Final Firming Up'!G37:G37)</f>
        <v>0</v>
      </c>
    </row>
    <row r="17" spans="2:5">
      <c r="B17" t="s">
        <v>310</v>
      </c>
      <c r="C17" s="55">
        <f>SUM('App I - Management Team Prop'!E22:E48)</f>
        <v>-1058150</v>
      </c>
      <c r="D17" s="55">
        <f>SUM('App I - Management Team Prop'!F22:F48)</f>
        <v>-1058150</v>
      </c>
      <c r="E17" s="55">
        <f>SUM('App I - Management Team Prop'!G22:G48)</f>
        <v>-1058150</v>
      </c>
    </row>
    <row r="18" spans="2:5">
      <c r="B18" t="s">
        <v>311</v>
      </c>
      <c r="C18" s="55">
        <f>SUM(C34)</f>
        <v>-13039.999999999767</v>
      </c>
      <c r="D18" s="55">
        <f>SUM(D34)</f>
        <v>21910</v>
      </c>
      <c r="E18" s="55">
        <f>SUM(E34)</f>
        <v>34180</v>
      </c>
    </row>
    <row r="19" spans="2:5">
      <c r="B19" t="s">
        <v>312</v>
      </c>
      <c r="C19" s="55">
        <f>C33</f>
        <v>0</v>
      </c>
      <c r="D19" s="55">
        <f>D33</f>
        <v>500000</v>
      </c>
      <c r="E19" s="55">
        <f>E33</f>
        <v>-500000</v>
      </c>
    </row>
    <row r="20" spans="2:5">
      <c r="B20" t="s">
        <v>313</v>
      </c>
      <c r="C20" s="55">
        <f>SUM(C41)-C15</f>
        <v>-352110</v>
      </c>
      <c r="D20" s="55">
        <f>SUM(D41)-D15</f>
        <v>1430</v>
      </c>
      <c r="E20" s="55">
        <f>SUM(E41)-E15</f>
        <v>73740</v>
      </c>
    </row>
    <row r="21" spans="2:5">
      <c r="B21" t="s">
        <v>314</v>
      </c>
      <c r="C21" s="55">
        <f>'App I - Management Team Prop'!E16</f>
        <v>-150000</v>
      </c>
      <c r="D21" s="55">
        <f>'App I - Management Team Prop'!F16</f>
        <v>-150000</v>
      </c>
      <c r="E21" s="55">
        <f>'App I - Management Team Prop'!G16</f>
        <v>-100000</v>
      </c>
    </row>
    <row r="22" spans="2:5">
      <c r="B22" t="s">
        <v>70</v>
      </c>
      <c r="C22" s="55">
        <f>C46</f>
        <v>-106140</v>
      </c>
      <c r="D22" s="55">
        <f>D46</f>
        <v>-107820</v>
      </c>
      <c r="E22" s="55">
        <f>E46</f>
        <v>-109540</v>
      </c>
    </row>
    <row r="23" spans="2:5">
      <c r="C23" s="126" t="e">
        <f>SUM(C8:C22)</f>
        <v>#REF!</v>
      </c>
      <c r="D23" s="126" t="e">
        <f>SUM(D8:D22)</f>
        <v>#REF!</v>
      </c>
      <c r="E23" s="126" t="e">
        <f>SUM(E8:E22)</f>
        <v>#REF!</v>
      </c>
    </row>
    <row r="24" spans="2:5">
      <c r="C24" s="55"/>
      <c r="D24" s="55"/>
      <c r="E24" s="55"/>
    </row>
    <row r="25" spans="2:5">
      <c r="B25" t="s">
        <v>315</v>
      </c>
      <c r="C25" s="55">
        <f>'App I - Management Team Prop'!E58</f>
        <v>2846050</v>
      </c>
      <c r="D25" s="55">
        <f>'App I - Management Team Prop'!F58</f>
        <v>7562170</v>
      </c>
      <c r="E25" s="55">
        <f>'App I - Management Team Prop'!G58</f>
        <v>8673290</v>
      </c>
    </row>
    <row r="26" spans="2:5">
      <c r="C26" s="126"/>
      <c r="D26" s="126" t="e">
        <f>D25-D23</f>
        <v>#REF!</v>
      </c>
      <c r="E26" s="126" t="e">
        <f>E25-E23</f>
        <v>#REF!</v>
      </c>
    </row>
    <row r="27" spans="2:5">
      <c r="C27" s="55"/>
      <c r="D27" s="55"/>
      <c r="E27" s="55"/>
    </row>
    <row r="33" spans="2:6">
      <c r="C33" s="127">
        <v>0</v>
      </c>
      <c r="D33" s="127">
        <v>500000</v>
      </c>
      <c r="E33" s="127">
        <v>-500000</v>
      </c>
      <c r="F33" s="127"/>
    </row>
    <row r="34" spans="2:6">
      <c r="C34" s="127">
        <v>-13039.999999999767</v>
      </c>
      <c r="D34" s="127">
        <v>21910</v>
      </c>
      <c r="E34" s="127">
        <v>34180</v>
      </c>
      <c r="F34" s="127"/>
    </row>
    <row r="35" spans="2:6">
      <c r="C35" s="127">
        <f>SUM(C33:C34)</f>
        <v>-13039.999999999767</v>
      </c>
      <c r="D35" s="127">
        <f>SUM(D33:D34)</f>
        <v>521910</v>
      </c>
      <c r="E35" s="127">
        <f>SUM(E33:E34)</f>
        <v>-465820</v>
      </c>
      <c r="F35" s="127"/>
    </row>
    <row r="36" spans="2:6">
      <c r="C36" s="127"/>
      <c r="D36" s="127"/>
      <c r="E36" s="127"/>
      <c r="F36" s="127"/>
    </row>
    <row r="37" spans="2:6">
      <c r="C37" s="127"/>
      <c r="D37" s="127"/>
      <c r="E37" s="127"/>
      <c r="F37" s="127"/>
    </row>
    <row r="38" spans="2:6">
      <c r="B38" t="s">
        <v>316</v>
      </c>
      <c r="C38" s="127"/>
      <c r="D38" s="127"/>
      <c r="E38" s="127"/>
      <c r="F38" s="127"/>
    </row>
    <row r="39" spans="2:6">
      <c r="B39" t="s">
        <v>317</v>
      </c>
      <c r="C39" s="55">
        <v>-1806490</v>
      </c>
      <c r="D39" s="55">
        <v>-1663510</v>
      </c>
      <c r="E39" s="55">
        <v>-1503990</v>
      </c>
      <c r="F39" s="127"/>
    </row>
    <row r="40" spans="2:6">
      <c r="B40" t="s">
        <v>318</v>
      </c>
      <c r="C40" s="55">
        <f>'App I - Management Team Prop'!E52</f>
        <v>-1863600</v>
      </c>
      <c r="D40" s="55">
        <f>'App I - Management Team Prop'!F52</f>
        <v>-1502080</v>
      </c>
      <c r="E40" s="55">
        <f>'App I - Management Team Prop'!G52</f>
        <v>-1430250</v>
      </c>
      <c r="F40" s="127"/>
    </row>
    <row r="41" spans="2:6">
      <c r="C41" s="126">
        <f>C40-C39</f>
        <v>-57110</v>
      </c>
      <c r="D41" s="126">
        <f>D40-D39</f>
        <v>161430</v>
      </c>
      <c r="E41" s="126">
        <f>E40-E39</f>
        <v>73740</v>
      </c>
      <c r="F41" s="127"/>
    </row>
    <row r="42" spans="2:6">
      <c r="C42" s="127"/>
      <c r="D42" s="127"/>
      <c r="E42" s="127"/>
      <c r="F42" s="127"/>
    </row>
    <row r="43" spans="2:6">
      <c r="C43" s="127"/>
      <c r="D43" s="127"/>
      <c r="E43" s="127"/>
      <c r="F43" s="127"/>
    </row>
    <row r="44" spans="2:6">
      <c r="C44" s="127">
        <v>-5438720</v>
      </c>
      <c r="D44" s="127">
        <v>-5547410</v>
      </c>
      <c r="E44" s="127">
        <v>-5658320</v>
      </c>
      <c r="F44" s="127">
        <v>-5771440</v>
      </c>
    </row>
    <row r="45" spans="2:6">
      <c r="C45" s="127">
        <f>'App I - Management Team Prop'!E17</f>
        <v>-5544860</v>
      </c>
      <c r="D45" s="127">
        <f>'App I - Management Team Prop'!F17</f>
        <v>-5655230</v>
      </c>
      <c r="E45" s="127">
        <f>'App I - Management Team Prop'!G17</f>
        <v>-5767860</v>
      </c>
      <c r="F45" s="127">
        <f>'App I - Management Team Prop'!H17</f>
        <v>-5882530</v>
      </c>
    </row>
    <row r="46" spans="2:6">
      <c r="C46" s="127">
        <f>C45-C44</f>
        <v>-106140</v>
      </c>
      <c r="D46" s="127">
        <f>D45-D44</f>
        <v>-107820</v>
      </c>
      <c r="E46" s="127">
        <f>E45-E44</f>
        <v>-109540</v>
      </c>
      <c r="F46" s="127">
        <f>F45-F44</f>
        <v>-111090</v>
      </c>
    </row>
    <row r="47" spans="2:6">
      <c r="C47" s="127"/>
      <c r="D47" s="127"/>
      <c r="E47" s="127"/>
      <c r="F47" s="127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indexed="11"/>
    <pageSetUpPr fitToPage="1"/>
  </sheetPr>
  <dimension ref="A1:AM146"/>
  <sheetViews>
    <sheetView topLeftCell="B1" zoomScale="75" zoomScaleNormal="100" zoomScaleSheetLayoutView="100" workbookViewId="0">
      <selection activeCell="O14" sqref="O14"/>
    </sheetView>
  </sheetViews>
  <sheetFormatPr defaultRowHeight="13.15"/>
  <cols>
    <col min="1" max="1" width="0" hidden="1" customWidth="1"/>
    <col min="2" max="2" width="6.28515625" customWidth="1"/>
    <col min="3" max="3" width="59.7109375" customWidth="1"/>
    <col min="4" max="4" width="17.5703125" bestFit="1" customWidth="1"/>
    <col min="5" max="5" width="4.28515625" customWidth="1"/>
    <col min="6" max="12" width="17.5703125" customWidth="1"/>
    <col min="13" max="13" width="15.5703125" bestFit="1" customWidth="1"/>
    <col min="14" max="14" width="12.7109375" customWidth="1"/>
    <col min="15" max="15" width="12.7109375" bestFit="1" customWidth="1"/>
    <col min="16" max="16" width="9.140625" style="2"/>
    <col min="17" max="19" width="0" style="2" hidden="1" customWidth="1"/>
    <col min="20" max="39" width="9.140625" style="2"/>
  </cols>
  <sheetData>
    <row r="1" spans="1:19" ht="21">
      <c r="A1" s="2"/>
      <c r="B1" s="3" t="s">
        <v>18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21">
      <c r="A2" s="2"/>
      <c r="B2" s="3" t="s">
        <v>319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13.9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9">
      <c r="A4" s="2"/>
      <c r="B4" s="4"/>
      <c r="C4" s="188"/>
      <c r="D4" s="5" t="s">
        <v>1</v>
      </c>
      <c r="E4" s="35"/>
      <c r="F4" s="5"/>
      <c r="G4" s="5"/>
      <c r="H4" s="5"/>
      <c r="I4" s="5"/>
      <c r="J4" s="5"/>
      <c r="K4" s="5"/>
      <c r="L4" s="5" t="s">
        <v>1</v>
      </c>
      <c r="M4" s="6" t="s">
        <v>1</v>
      </c>
      <c r="N4" s="4" t="s">
        <v>1</v>
      </c>
      <c r="O4" s="4" t="s">
        <v>1</v>
      </c>
    </row>
    <row r="5" spans="1:19">
      <c r="A5" s="2"/>
      <c r="B5" s="7"/>
      <c r="C5" s="190"/>
      <c r="D5" s="8" t="s">
        <v>2</v>
      </c>
      <c r="E5" s="35"/>
      <c r="F5" s="8"/>
      <c r="G5" s="8"/>
      <c r="H5" s="8"/>
      <c r="I5" s="8"/>
      <c r="J5" s="8"/>
      <c r="K5" s="8"/>
      <c r="L5" s="8" t="s">
        <v>2</v>
      </c>
      <c r="M5" s="9" t="s">
        <v>2</v>
      </c>
      <c r="N5" s="7" t="s">
        <v>2</v>
      </c>
      <c r="O5" s="7" t="s">
        <v>2</v>
      </c>
    </row>
    <row r="6" spans="1:19">
      <c r="A6" s="2"/>
      <c r="B6" s="7" t="s">
        <v>19</v>
      </c>
      <c r="C6" s="190"/>
      <c r="D6" s="8" t="s">
        <v>5</v>
      </c>
      <c r="E6" s="35"/>
      <c r="F6" s="8"/>
      <c r="G6" s="8"/>
      <c r="H6" s="8"/>
      <c r="I6" s="8"/>
      <c r="J6" s="8"/>
      <c r="K6" s="8"/>
      <c r="L6" s="8" t="s">
        <v>320</v>
      </c>
      <c r="M6" s="9" t="s">
        <v>4</v>
      </c>
      <c r="N6" s="7" t="s">
        <v>5</v>
      </c>
      <c r="O6" s="7" t="s">
        <v>6</v>
      </c>
    </row>
    <row r="7" spans="1:19">
      <c r="A7" s="2"/>
      <c r="B7" s="7"/>
      <c r="C7" s="190"/>
      <c r="D7" s="8" t="s">
        <v>321</v>
      </c>
      <c r="E7" s="35"/>
      <c r="F7" s="8"/>
      <c r="G7" s="8"/>
      <c r="H7" s="8"/>
      <c r="I7" s="8"/>
      <c r="J7" s="8"/>
      <c r="K7" s="8"/>
      <c r="L7" s="8" t="s">
        <v>321</v>
      </c>
      <c r="M7" s="9"/>
      <c r="N7" s="7"/>
      <c r="O7" s="7"/>
    </row>
    <row r="8" spans="1:19">
      <c r="A8" s="2"/>
      <c r="B8" s="7"/>
      <c r="C8" s="190"/>
      <c r="D8" s="8" t="s">
        <v>322</v>
      </c>
      <c r="E8" s="35"/>
      <c r="F8" s="8"/>
      <c r="G8" s="8"/>
      <c r="H8" s="8"/>
      <c r="I8" s="8"/>
      <c r="J8" s="8"/>
      <c r="K8" s="8"/>
      <c r="L8" s="8" t="s">
        <v>323</v>
      </c>
      <c r="M8" s="9"/>
      <c r="N8" s="7"/>
      <c r="O8" s="7"/>
    </row>
    <row r="9" spans="1:19">
      <c r="A9" s="2"/>
      <c r="B9" s="7"/>
      <c r="C9" s="190"/>
      <c r="D9" s="8"/>
      <c r="E9" s="35"/>
      <c r="F9" s="8"/>
      <c r="G9" s="8"/>
      <c r="H9" s="8"/>
      <c r="I9" s="8"/>
      <c r="J9" s="8"/>
      <c r="K9" s="8"/>
      <c r="L9" s="8" t="s">
        <v>324</v>
      </c>
      <c r="M9" s="9"/>
      <c r="N9" s="7"/>
      <c r="O9" s="7"/>
    </row>
    <row r="10" spans="1:19">
      <c r="A10" s="2"/>
      <c r="B10" s="7"/>
      <c r="C10" s="190"/>
      <c r="D10" s="8"/>
      <c r="E10" s="35"/>
      <c r="F10" s="8"/>
      <c r="G10" s="8"/>
      <c r="H10" s="8"/>
      <c r="I10" s="8"/>
      <c r="J10" s="8"/>
      <c r="K10" s="8"/>
      <c r="L10" s="8" t="s">
        <v>325</v>
      </c>
      <c r="M10" s="9"/>
      <c r="N10" s="7"/>
      <c r="O10" s="7"/>
    </row>
    <row r="11" spans="1:19">
      <c r="A11" s="2"/>
      <c r="B11" s="10" t="s">
        <v>23</v>
      </c>
      <c r="C11" s="191"/>
      <c r="D11" s="8" t="s">
        <v>24</v>
      </c>
      <c r="E11" s="35"/>
      <c r="F11" s="8" t="s">
        <v>24</v>
      </c>
      <c r="G11" s="8" t="s">
        <v>24</v>
      </c>
      <c r="H11" s="8" t="s">
        <v>24</v>
      </c>
      <c r="I11" s="8" t="s">
        <v>24</v>
      </c>
      <c r="J11" s="8" t="s">
        <v>24</v>
      </c>
      <c r="K11" s="8" t="s">
        <v>24</v>
      </c>
      <c r="L11" s="8" t="s">
        <v>24</v>
      </c>
      <c r="M11" s="11" t="s">
        <v>24</v>
      </c>
      <c r="N11" s="10" t="s">
        <v>24</v>
      </c>
      <c r="O11" s="10" t="s">
        <v>24</v>
      </c>
    </row>
    <row r="12" spans="1:19">
      <c r="A12" s="2"/>
      <c r="B12" s="192"/>
      <c r="C12" s="193"/>
      <c r="D12" s="194"/>
      <c r="E12" s="133"/>
      <c r="F12" s="194"/>
      <c r="G12" s="194"/>
      <c r="H12" s="194"/>
      <c r="I12" s="194"/>
      <c r="J12" s="194"/>
      <c r="K12" s="194"/>
      <c r="L12" s="194"/>
      <c r="M12" s="229"/>
      <c r="N12" s="229"/>
      <c r="O12" s="229"/>
    </row>
    <row r="13" spans="1:19">
      <c r="A13" s="2"/>
      <c r="B13" s="192">
        <v>1</v>
      </c>
      <c r="C13" s="133" t="s">
        <v>326</v>
      </c>
      <c r="D13" s="12">
        <v>17151860</v>
      </c>
      <c r="E13" s="34"/>
      <c r="F13" s="12"/>
      <c r="G13" s="12"/>
      <c r="H13" s="12"/>
      <c r="I13" s="12"/>
      <c r="J13" s="12"/>
      <c r="K13" s="12"/>
      <c r="L13" s="12">
        <f>SUM(D13:K13)</f>
        <v>17151860</v>
      </c>
      <c r="M13" s="13">
        <v>17773950</v>
      </c>
      <c r="N13" s="13">
        <v>18274420</v>
      </c>
      <c r="O13" s="14">
        <f>ROUND(N13*1.025,-1)</f>
        <v>18731280</v>
      </c>
    </row>
    <row r="14" spans="1:19">
      <c r="A14" s="2"/>
      <c r="B14" s="192"/>
      <c r="C14" s="193"/>
      <c r="D14" s="196"/>
      <c r="E14" s="230"/>
      <c r="F14" s="196"/>
      <c r="G14" s="196"/>
      <c r="H14" s="196"/>
      <c r="I14" s="196"/>
      <c r="J14" s="196"/>
      <c r="K14" s="196"/>
      <c r="L14" s="196"/>
      <c r="M14" s="231"/>
      <c r="N14" s="231"/>
      <c r="O14" s="231"/>
    </row>
    <row r="15" spans="1:19">
      <c r="A15" s="2"/>
      <c r="B15" s="192"/>
      <c r="C15" s="15" t="s">
        <v>26</v>
      </c>
      <c r="D15" s="196"/>
      <c r="E15" s="230"/>
      <c r="F15" s="196"/>
      <c r="G15" s="196"/>
      <c r="H15" s="196"/>
      <c r="I15" s="196"/>
      <c r="J15" s="196"/>
      <c r="K15" s="196"/>
      <c r="L15" s="196">
        <f>SUM(F15:K15)</f>
        <v>0</v>
      </c>
      <c r="M15" s="231"/>
      <c r="N15" s="231"/>
      <c r="O15" s="231"/>
    </row>
    <row r="16" spans="1:19">
      <c r="A16" s="2"/>
      <c r="B16" s="192"/>
      <c r="C16" s="16"/>
      <c r="D16" s="196"/>
      <c r="E16" s="230"/>
      <c r="F16" s="196"/>
      <c r="G16" s="196"/>
      <c r="H16" s="196"/>
      <c r="I16" s="196"/>
      <c r="J16" s="196"/>
      <c r="K16" s="196"/>
      <c r="L16" s="196">
        <f t="shared" ref="L16:L42" si="0">SUM(F16:K16)</f>
        <v>0</v>
      </c>
      <c r="M16" s="231"/>
      <c r="N16" s="231"/>
      <c r="O16" s="231"/>
      <c r="Q16" s="2">
        <v>35224</v>
      </c>
      <c r="R16" s="2">
        <v>70734</v>
      </c>
      <c r="S16" s="2">
        <v>107216</v>
      </c>
    </row>
    <row r="17" spans="1:15">
      <c r="A17" s="2"/>
      <c r="B17" s="192">
        <f>B13+1</f>
        <v>2</v>
      </c>
      <c r="C17" s="133"/>
      <c r="D17" s="196"/>
      <c r="E17" s="230"/>
      <c r="F17" s="196"/>
      <c r="G17" s="196"/>
      <c r="H17" s="196"/>
      <c r="I17" s="196"/>
      <c r="J17" s="196"/>
      <c r="K17" s="196"/>
      <c r="L17" s="196">
        <f t="shared" si="0"/>
        <v>0</v>
      </c>
      <c r="M17" s="231"/>
      <c r="N17" s="231"/>
      <c r="O17" s="232"/>
    </row>
    <row r="18" spans="1:15">
      <c r="A18" s="2"/>
      <c r="B18" s="192"/>
      <c r="C18" s="133"/>
      <c r="D18" s="196"/>
      <c r="E18" s="230"/>
      <c r="F18" s="196"/>
      <c r="G18" s="196"/>
      <c r="H18" s="196"/>
      <c r="I18" s="196"/>
      <c r="J18" s="196"/>
      <c r="K18" s="196"/>
      <c r="L18" s="196">
        <f t="shared" si="0"/>
        <v>0</v>
      </c>
      <c r="M18" s="231"/>
      <c r="N18" s="231"/>
      <c r="O18" s="232"/>
    </row>
    <row r="19" spans="1:15">
      <c r="A19" s="2"/>
      <c r="B19" s="192">
        <f>B17+1</f>
        <v>3</v>
      </c>
      <c r="C19" s="133"/>
      <c r="D19" s="196"/>
      <c r="E19" s="230"/>
      <c r="F19" s="196"/>
      <c r="G19" s="196"/>
      <c r="H19" s="196"/>
      <c r="I19" s="196"/>
      <c r="J19" s="196"/>
      <c r="K19" s="196"/>
      <c r="L19" s="196">
        <f t="shared" si="0"/>
        <v>0</v>
      </c>
      <c r="M19" s="231"/>
      <c r="N19" s="231"/>
      <c r="O19" s="232"/>
    </row>
    <row r="20" spans="1:15">
      <c r="A20" s="2"/>
      <c r="B20" s="192"/>
      <c r="C20" s="133"/>
      <c r="D20" s="196"/>
      <c r="E20" s="230"/>
      <c r="F20" s="196"/>
      <c r="G20" s="196"/>
      <c r="H20" s="196"/>
      <c r="I20" s="196"/>
      <c r="J20" s="196"/>
      <c r="K20" s="196"/>
      <c r="L20" s="196">
        <f t="shared" si="0"/>
        <v>0</v>
      </c>
      <c r="M20" s="231"/>
      <c r="N20" s="231"/>
      <c r="O20" s="231"/>
    </row>
    <row r="21" spans="1:15">
      <c r="A21" s="2"/>
      <c r="B21" s="192">
        <f>B19+1</f>
        <v>4</v>
      </c>
      <c r="C21" s="133"/>
      <c r="D21" s="196"/>
      <c r="E21" s="230"/>
      <c r="F21" s="196"/>
      <c r="G21" s="196"/>
      <c r="H21" s="196"/>
      <c r="I21" s="196"/>
      <c r="J21" s="196"/>
      <c r="K21" s="196"/>
      <c r="L21" s="196">
        <f t="shared" si="0"/>
        <v>0</v>
      </c>
      <c r="M21" s="231"/>
      <c r="N21" s="231"/>
      <c r="O21" s="231"/>
    </row>
    <row r="22" spans="1:15">
      <c r="A22" s="2"/>
      <c r="B22" s="192"/>
      <c r="C22" s="133"/>
      <c r="D22" s="196"/>
      <c r="E22" s="230"/>
      <c r="F22" s="196"/>
      <c r="G22" s="196"/>
      <c r="H22" s="196"/>
      <c r="I22" s="196"/>
      <c r="J22" s="196"/>
      <c r="K22" s="196"/>
      <c r="L22" s="196">
        <f t="shared" si="0"/>
        <v>0</v>
      </c>
      <c r="M22" s="231"/>
      <c r="N22" s="231"/>
      <c r="O22" s="231"/>
    </row>
    <row r="23" spans="1:15">
      <c r="A23" s="2"/>
      <c r="B23" s="192">
        <f>B21+1</f>
        <v>5</v>
      </c>
      <c r="C23" s="133"/>
      <c r="D23" s="196"/>
      <c r="E23" s="230"/>
      <c r="F23" s="196"/>
      <c r="G23" s="196"/>
      <c r="H23" s="196"/>
      <c r="I23" s="196"/>
      <c r="J23" s="196"/>
      <c r="K23" s="196"/>
      <c r="L23" s="196">
        <f t="shared" si="0"/>
        <v>0</v>
      </c>
      <c r="M23" s="231"/>
      <c r="N23" s="231"/>
      <c r="O23" s="231"/>
    </row>
    <row r="24" spans="1:15">
      <c r="A24" s="2"/>
      <c r="B24" s="192"/>
      <c r="C24" s="133"/>
      <c r="D24" s="196"/>
      <c r="E24" s="230"/>
      <c r="F24" s="196"/>
      <c r="G24" s="196"/>
      <c r="H24" s="196"/>
      <c r="I24" s="196"/>
      <c r="J24" s="196"/>
      <c r="K24" s="196"/>
      <c r="L24" s="196">
        <f t="shared" si="0"/>
        <v>0</v>
      </c>
      <c r="M24" s="231"/>
      <c r="N24" s="231"/>
      <c r="O24" s="231"/>
    </row>
    <row r="25" spans="1:15">
      <c r="A25" s="2"/>
      <c r="B25" s="192">
        <f>B23+1</f>
        <v>6</v>
      </c>
      <c r="C25" s="133"/>
      <c r="D25" s="196"/>
      <c r="E25" s="230"/>
      <c r="F25" s="196"/>
      <c r="G25" s="196"/>
      <c r="H25" s="196"/>
      <c r="I25" s="196"/>
      <c r="J25" s="196"/>
      <c r="K25" s="196"/>
      <c r="L25" s="196">
        <f t="shared" si="0"/>
        <v>0</v>
      </c>
      <c r="M25" s="231"/>
      <c r="N25" s="231"/>
      <c r="O25" s="231"/>
    </row>
    <row r="26" spans="1:15">
      <c r="A26" s="2"/>
      <c r="B26" s="192"/>
      <c r="C26" s="133"/>
      <c r="D26" s="196"/>
      <c r="E26" s="230"/>
      <c r="F26" s="196"/>
      <c r="G26" s="196"/>
      <c r="H26" s="196"/>
      <c r="I26" s="196"/>
      <c r="J26" s="196"/>
      <c r="K26" s="196"/>
      <c r="L26" s="196">
        <f t="shared" si="0"/>
        <v>0</v>
      </c>
      <c r="M26" s="231"/>
      <c r="N26" s="231"/>
      <c r="O26" s="231"/>
    </row>
    <row r="27" spans="1:15">
      <c r="A27" s="2"/>
      <c r="B27" s="192">
        <f>B25+1</f>
        <v>7</v>
      </c>
      <c r="C27" s="133"/>
      <c r="D27" s="196"/>
      <c r="E27" s="230"/>
      <c r="F27" s="196"/>
      <c r="G27" s="196"/>
      <c r="H27" s="196"/>
      <c r="I27" s="196"/>
      <c r="J27" s="196"/>
      <c r="K27" s="196"/>
      <c r="L27" s="196">
        <f t="shared" si="0"/>
        <v>0</v>
      </c>
      <c r="M27" s="231"/>
      <c r="N27" s="231"/>
      <c r="O27" s="231"/>
    </row>
    <row r="28" spans="1:15">
      <c r="A28" s="2"/>
      <c r="B28" s="192"/>
      <c r="C28" s="133"/>
      <c r="D28" s="196"/>
      <c r="E28" s="230"/>
      <c r="F28" s="196"/>
      <c r="G28" s="196"/>
      <c r="H28" s="196"/>
      <c r="I28" s="196"/>
      <c r="J28" s="196"/>
      <c r="K28" s="196"/>
      <c r="L28" s="196">
        <f t="shared" si="0"/>
        <v>0</v>
      </c>
      <c r="M28" s="231"/>
      <c r="N28" s="231"/>
      <c r="O28" s="231"/>
    </row>
    <row r="29" spans="1:15">
      <c r="A29" s="2"/>
      <c r="B29" s="192">
        <f>B27+1</f>
        <v>8</v>
      </c>
      <c r="C29" s="133"/>
      <c r="D29" s="196"/>
      <c r="E29" s="230"/>
      <c r="F29" s="196"/>
      <c r="G29" s="196"/>
      <c r="H29" s="196"/>
      <c r="I29" s="196"/>
      <c r="J29" s="196"/>
      <c r="K29" s="196"/>
      <c r="L29" s="196">
        <f t="shared" si="0"/>
        <v>0</v>
      </c>
      <c r="M29" s="231"/>
      <c r="N29" s="231"/>
      <c r="O29" s="231"/>
    </row>
    <row r="30" spans="1:15">
      <c r="A30" s="2"/>
      <c r="B30" s="192"/>
      <c r="C30" s="133"/>
      <c r="D30" s="196"/>
      <c r="E30" s="230"/>
      <c r="F30" s="196"/>
      <c r="G30" s="196"/>
      <c r="H30" s="196"/>
      <c r="I30" s="196"/>
      <c r="J30" s="196"/>
      <c r="K30" s="196"/>
      <c r="L30" s="196">
        <f t="shared" si="0"/>
        <v>0</v>
      </c>
      <c r="M30" s="231"/>
      <c r="N30" s="231"/>
      <c r="O30" s="231"/>
    </row>
    <row r="31" spans="1:15">
      <c r="A31" s="2"/>
      <c r="B31" s="192"/>
      <c r="C31" s="17"/>
      <c r="D31" s="196"/>
      <c r="E31" s="230"/>
      <c r="F31" s="196"/>
      <c r="G31" s="196"/>
      <c r="H31" s="196"/>
      <c r="I31" s="196"/>
      <c r="J31" s="196"/>
      <c r="K31" s="196"/>
      <c r="L31" s="196">
        <f t="shared" si="0"/>
        <v>0</v>
      </c>
      <c r="M31" s="231"/>
      <c r="N31" s="231"/>
      <c r="O31" s="231"/>
    </row>
    <row r="32" spans="1:15">
      <c r="A32" s="2"/>
      <c r="B32" s="192"/>
      <c r="C32" s="133"/>
      <c r="D32" s="196"/>
      <c r="E32" s="230"/>
      <c r="F32" s="196"/>
      <c r="G32" s="196"/>
      <c r="H32" s="196"/>
      <c r="I32" s="196"/>
      <c r="J32" s="196"/>
      <c r="K32" s="196"/>
      <c r="L32" s="196">
        <f t="shared" si="0"/>
        <v>0</v>
      </c>
      <c r="M32" s="231"/>
      <c r="N32" s="231"/>
      <c r="O32" s="231"/>
    </row>
    <row r="33" spans="1:20">
      <c r="A33" s="2"/>
      <c r="B33" s="192">
        <f>B29+1</f>
        <v>9</v>
      </c>
      <c r="C33" s="133"/>
      <c r="D33" s="196"/>
      <c r="E33" s="230"/>
      <c r="F33" s="196"/>
      <c r="G33" s="196"/>
      <c r="H33" s="196"/>
      <c r="I33" s="196"/>
      <c r="J33" s="196"/>
      <c r="K33" s="196"/>
      <c r="L33" s="196">
        <f t="shared" si="0"/>
        <v>0</v>
      </c>
      <c r="M33" s="231"/>
      <c r="N33" s="231"/>
      <c r="O33" s="231"/>
      <c r="Q33" s="2">
        <v>39750</v>
      </c>
    </row>
    <row r="34" spans="1:20">
      <c r="A34" s="2"/>
      <c r="B34" s="192"/>
      <c r="C34" s="133"/>
      <c r="D34" s="196"/>
      <c r="E34" s="230"/>
      <c r="F34" s="196"/>
      <c r="G34" s="196"/>
      <c r="H34" s="196"/>
      <c r="I34" s="196"/>
      <c r="J34" s="196"/>
      <c r="K34" s="196"/>
      <c r="L34" s="196">
        <f t="shared" si="0"/>
        <v>0</v>
      </c>
      <c r="M34" s="231"/>
      <c r="N34" s="231"/>
      <c r="O34" s="231"/>
      <c r="Q34" s="2">
        <v>10290</v>
      </c>
    </row>
    <row r="35" spans="1:20">
      <c r="A35" s="2"/>
      <c r="B35" s="192">
        <f>B33+1</f>
        <v>10</v>
      </c>
      <c r="C35" s="133"/>
      <c r="D35" s="196"/>
      <c r="E35" s="230"/>
      <c r="F35" s="196"/>
      <c r="G35" s="196"/>
      <c r="H35" s="196"/>
      <c r="I35" s="196"/>
      <c r="J35" s="196"/>
      <c r="K35" s="196"/>
      <c r="L35" s="196">
        <f t="shared" si="0"/>
        <v>0</v>
      </c>
      <c r="M35" s="231"/>
      <c r="N35" s="231"/>
      <c r="O35" s="231"/>
      <c r="Q35" s="2">
        <v>15000</v>
      </c>
      <c r="T35" s="32">
        <f>-L41</f>
        <v>0</v>
      </c>
    </row>
    <row r="36" spans="1:20">
      <c r="A36" s="2"/>
      <c r="B36" s="192"/>
      <c r="C36" s="133"/>
      <c r="D36" s="196"/>
      <c r="E36" s="230"/>
      <c r="F36" s="196"/>
      <c r="G36" s="196"/>
      <c r="H36" s="196"/>
      <c r="I36" s="196"/>
      <c r="J36" s="196"/>
      <c r="K36" s="196"/>
      <c r="L36" s="196">
        <f t="shared" si="0"/>
        <v>0</v>
      </c>
      <c r="M36" s="231"/>
      <c r="N36" s="231"/>
      <c r="O36" s="231"/>
    </row>
    <row r="37" spans="1:20">
      <c r="A37" s="2"/>
      <c r="B37" s="192">
        <f>B35+1</f>
        <v>11</v>
      </c>
      <c r="C37" s="133"/>
      <c r="D37" s="196"/>
      <c r="E37" s="230"/>
      <c r="F37" s="196"/>
      <c r="G37" s="196"/>
      <c r="H37" s="196"/>
      <c r="I37" s="196"/>
      <c r="J37" s="196"/>
      <c r="K37" s="196"/>
      <c r="L37" s="196">
        <f t="shared" si="0"/>
        <v>0</v>
      </c>
      <c r="M37" s="231"/>
      <c r="N37" s="231"/>
      <c r="O37" s="231"/>
    </row>
    <row r="38" spans="1:20">
      <c r="A38" s="2"/>
      <c r="B38" s="192"/>
      <c r="C38" s="133"/>
      <c r="D38" s="196"/>
      <c r="E38" s="230"/>
      <c r="F38" s="196"/>
      <c r="G38" s="196"/>
      <c r="H38" s="196"/>
      <c r="I38" s="196"/>
      <c r="J38" s="196"/>
      <c r="K38" s="196"/>
      <c r="L38" s="196">
        <f t="shared" si="0"/>
        <v>0</v>
      </c>
      <c r="M38" s="231"/>
      <c r="N38" s="231"/>
      <c r="O38" s="231"/>
    </row>
    <row r="39" spans="1:20">
      <c r="A39" s="2"/>
      <c r="B39" s="192">
        <f>B37+1</f>
        <v>12</v>
      </c>
      <c r="C39" s="133"/>
      <c r="D39" s="196"/>
      <c r="E39" s="230"/>
      <c r="F39" s="196"/>
      <c r="G39" s="196"/>
      <c r="H39" s="196"/>
      <c r="I39" s="196"/>
      <c r="J39" s="196"/>
      <c r="K39" s="196"/>
      <c r="L39" s="196">
        <f t="shared" si="0"/>
        <v>0</v>
      </c>
      <c r="M39" s="231"/>
      <c r="N39" s="231"/>
      <c r="O39" s="231"/>
    </row>
    <row r="40" spans="1:20">
      <c r="A40" s="2"/>
      <c r="B40" s="192"/>
      <c r="C40" s="133"/>
      <c r="D40" s="196"/>
      <c r="E40" s="230"/>
      <c r="F40" s="196"/>
      <c r="G40" s="196"/>
      <c r="H40" s="196"/>
      <c r="I40" s="196"/>
      <c r="J40" s="196"/>
      <c r="K40" s="196"/>
      <c r="L40" s="196">
        <f t="shared" si="0"/>
        <v>0</v>
      </c>
      <c r="M40" s="231"/>
      <c r="N40" s="231"/>
      <c r="O40" s="231"/>
    </row>
    <row r="41" spans="1:20">
      <c r="A41" s="2"/>
      <c r="B41" s="192">
        <f>B39+1</f>
        <v>13</v>
      </c>
      <c r="C41" s="133"/>
      <c r="D41" s="196"/>
      <c r="E41" s="230"/>
      <c r="F41" s="196"/>
      <c r="G41" s="196"/>
      <c r="H41" s="196"/>
      <c r="I41" s="196"/>
      <c r="J41" s="196"/>
      <c r="K41" s="196"/>
      <c r="L41" s="196">
        <f t="shared" si="0"/>
        <v>0</v>
      </c>
      <c r="M41" s="231"/>
      <c r="N41" s="231"/>
      <c r="O41" s="231"/>
    </row>
    <row r="42" spans="1:20" ht="13.9" thickBot="1">
      <c r="A42" s="2"/>
      <c r="B42" s="192"/>
      <c r="C42" s="133"/>
      <c r="D42" s="196"/>
      <c r="E42" s="230"/>
      <c r="F42" s="196"/>
      <c r="G42" s="196"/>
      <c r="H42" s="196"/>
      <c r="I42" s="196"/>
      <c r="J42" s="196"/>
      <c r="K42" s="196"/>
      <c r="L42" s="196">
        <f t="shared" si="0"/>
        <v>0</v>
      </c>
      <c r="M42" s="231"/>
      <c r="N42" s="231"/>
      <c r="O42" s="231"/>
    </row>
    <row r="43" spans="1:20" ht="16.149999999999999" thickBot="1">
      <c r="A43" s="2"/>
      <c r="B43" s="18">
        <f>B41+1</f>
        <v>14</v>
      </c>
      <c r="C43" s="19" t="s">
        <v>50</v>
      </c>
      <c r="D43" s="20">
        <f>SUM(D13:D42)</f>
        <v>17151860</v>
      </c>
      <c r="E43" s="36"/>
      <c r="F43" s="20">
        <f t="shared" ref="F43:O43" si="1">SUM(F13:F42)</f>
        <v>0</v>
      </c>
      <c r="G43" s="20">
        <f t="shared" si="1"/>
        <v>0</v>
      </c>
      <c r="H43" s="20">
        <f t="shared" si="1"/>
        <v>0</v>
      </c>
      <c r="I43" s="20">
        <f t="shared" si="1"/>
        <v>0</v>
      </c>
      <c r="J43" s="20">
        <f t="shared" si="1"/>
        <v>0</v>
      </c>
      <c r="K43" s="20">
        <f t="shared" si="1"/>
        <v>0</v>
      </c>
      <c r="L43" s="20">
        <f t="shared" si="1"/>
        <v>17151860</v>
      </c>
      <c r="M43" s="20">
        <f t="shared" si="1"/>
        <v>17773950</v>
      </c>
      <c r="N43" s="20">
        <f t="shared" si="1"/>
        <v>18274420</v>
      </c>
      <c r="O43" s="20">
        <f t="shared" si="1"/>
        <v>18731280</v>
      </c>
    </row>
    <row r="44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0" hidden="1">
      <c r="A45" s="21"/>
      <c r="B45" s="2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20" ht="16.149999999999999" hidden="1" thickTop="1">
      <c r="A46" s="21"/>
      <c r="B46" s="21"/>
      <c r="C46" s="251"/>
      <c r="D46" s="22" t="s">
        <v>1</v>
      </c>
      <c r="E46" s="22"/>
      <c r="F46" s="22"/>
      <c r="G46" s="22"/>
      <c r="H46" s="22"/>
      <c r="I46" s="22"/>
      <c r="J46" s="22"/>
      <c r="K46" s="22"/>
      <c r="L46" s="22"/>
      <c r="M46" s="22" t="s">
        <v>3</v>
      </c>
      <c r="N46" s="22" t="s">
        <v>3</v>
      </c>
      <c r="O46" s="22" t="s">
        <v>1</v>
      </c>
    </row>
    <row r="47" spans="1:20" ht="15.6" hidden="1">
      <c r="A47" s="21"/>
      <c r="B47" s="21"/>
      <c r="C47" s="252"/>
      <c r="D47" s="23" t="s">
        <v>2</v>
      </c>
      <c r="E47" s="23"/>
      <c r="F47" s="23"/>
      <c r="G47" s="23"/>
      <c r="H47" s="23"/>
      <c r="I47" s="23"/>
      <c r="J47" s="23"/>
      <c r="K47" s="23"/>
      <c r="L47" s="23"/>
      <c r="M47" s="23" t="s">
        <v>2</v>
      </c>
      <c r="N47" s="23" t="s">
        <v>2</v>
      </c>
      <c r="O47" s="23" t="s">
        <v>2</v>
      </c>
    </row>
    <row r="48" spans="1:20" ht="15.75" hidden="1" customHeight="1">
      <c r="A48" s="21"/>
      <c r="B48" s="21"/>
      <c r="C48" s="252"/>
      <c r="D48" s="23" t="str">
        <f>D6</f>
        <v>2013/14</v>
      </c>
      <c r="E48" s="23"/>
      <c r="F48" s="23"/>
      <c r="G48" s="23"/>
      <c r="H48" s="23"/>
      <c r="I48" s="23"/>
      <c r="J48" s="23"/>
      <c r="K48" s="23"/>
      <c r="L48" s="23"/>
      <c r="M48" s="23" t="str">
        <f>M6</f>
        <v>2012/13</v>
      </c>
      <c r="N48" s="23" t="str">
        <f>N6</f>
        <v>2013/14</v>
      </c>
      <c r="O48" s="23" t="str">
        <f>O6</f>
        <v>2014/15</v>
      </c>
    </row>
    <row r="49" spans="1:15" ht="16.149999999999999" hidden="1" thickBot="1">
      <c r="A49" s="21"/>
      <c r="B49" s="21"/>
      <c r="C49" s="253"/>
      <c r="D49" s="25" t="s">
        <v>51</v>
      </c>
      <c r="E49" s="25"/>
      <c r="F49" s="25"/>
      <c r="G49" s="25"/>
      <c r="H49" s="25"/>
      <c r="I49" s="25"/>
      <c r="J49" s="25"/>
      <c r="K49" s="25"/>
      <c r="L49" s="25"/>
      <c r="M49" s="25" t="s">
        <v>51</v>
      </c>
      <c r="N49" s="25" t="s">
        <v>51</v>
      </c>
      <c r="O49" s="25" t="s">
        <v>51</v>
      </c>
    </row>
    <row r="50" spans="1:15" ht="15" hidden="1">
      <c r="A50" s="21"/>
      <c r="B50" s="21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1:15" ht="15" hidden="1">
      <c r="A51" s="21"/>
      <c r="B51" s="21"/>
      <c r="C51" s="26" t="s">
        <v>327</v>
      </c>
      <c r="D51" s="28">
        <f>D13/1000</f>
        <v>17151.86</v>
      </c>
      <c r="E51" s="28"/>
      <c r="F51" s="28"/>
      <c r="G51" s="28"/>
      <c r="H51" s="28"/>
      <c r="I51" s="28"/>
      <c r="J51" s="28"/>
      <c r="K51" s="28"/>
      <c r="L51" s="28"/>
      <c r="M51" s="28">
        <f>M13/1000</f>
        <v>17773.95</v>
      </c>
      <c r="N51" s="28">
        <f>N13/1000</f>
        <v>18274.419999999998</v>
      </c>
      <c r="O51" s="28">
        <f>O13/1000</f>
        <v>18731.28</v>
      </c>
    </row>
    <row r="52" spans="1:15" ht="15" hidden="1">
      <c r="A52" s="21"/>
      <c r="B52" s="21"/>
      <c r="C52" s="26" t="s">
        <v>54</v>
      </c>
      <c r="D52" s="28">
        <f>SUM(D16:D29)/1000</f>
        <v>0</v>
      </c>
      <c r="E52" s="28"/>
      <c r="F52" s="28"/>
      <c r="G52" s="28"/>
      <c r="H52" s="28"/>
      <c r="I52" s="28"/>
      <c r="J52" s="28"/>
      <c r="K52" s="28"/>
      <c r="L52" s="28"/>
      <c r="M52" s="28">
        <f>SUM(M16:M29)/1000</f>
        <v>0</v>
      </c>
      <c r="N52" s="28">
        <f>SUM(N16:N29)/1000</f>
        <v>0</v>
      </c>
      <c r="O52" s="28">
        <f>SUM(O16:O29)/1000</f>
        <v>0</v>
      </c>
    </row>
    <row r="53" spans="1:15" ht="15" hidden="1">
      <c r="A53" s="21"/>
      <c r="B53" s="21"/>
      <c r="C53" s="26" t="s">
        <v>55</v>
      </c>
      <c r="D53" s="28">
        <f>SUM(D33:D42)/1000</f>
        <v>0</v>
      </c>
      <c r="E53" s="28"/>
      <c r="F53" s="28"/>
      <c r="G53" s="28"/>
      <c r="H53" s="28"/>
      <c r="I53" s="28"/>
      <c r="J53" s="28"/>
      <c r="K53" s="28"/>
      <c r="L53" s="28"/>
      <c r="M53" s="28">
        <f>SUM(M33:M42)/1000</f>
        <v>0</v>
      </c>
      <c r="N53" s="28">
        <f>SUM(N33:N42)/1000</f>
        <v>0</v>
      </c>
      <c r="O53" s="28">
        <f>SUM(O33:O42)/1000</f>
        <v>0</v>
      </c>
    </row>
    <row r="54" spans="1:15" ht="15" hidden="1">
      <c r="A54" s="21"/>
      <c r="B54" s="21"/>
      <c r="C54" s="26" t="s">
        <v>328</v>
      </c>
      <c r="D54" s="28" t="e">
        <f>#REF!/1000</f>
        <v>#REF!</v>
      </c>
      <c r="E54" s="28"/>
      <c r="F54" s="28"/>
      <c r="G54" s="28"/>
      <c r="H54" s="28"/>
      <c r="I54" s="28"/>
      <c r="J54" s="28"/>
      <c r="K54" s="28"/>
      <c r="L54" s="28"/>
      <c r="M54" s="28" t="e">
        <f>#REF!/1000</f>
        <v>#REF!</v>
      </c>
      <c r="N54" s="28" t="e">
        <f>#REF!/1000</f>
        <v>#REF!</v>
      </c>
      <c r="O54" s="28" t="e">
        <f>#REF!/1000</f>
        <v>#REF!</v>
      </c>
    </row>
    <row r="55" spans="1:15" ht="15.6" hidden="1" thickBot="1">
      <c r="A55" s="21"/>
      <c r="B55" s="21"/>
      <c r="C55" s="29" t="s">
        <v>283</v>
      </c>
      <c r="D55" s="30">
        <f>SUM('[11]Executive 16th December 2010'!E15)/1000</f>
        <v>-158</v>
      </c>
      <c r="E55" s="30"/>
      <c r="F55" s="30"/>
      <c r="G55" s="30"/>
      <c r="H55" s="30"/>
      <c r="I55" s="30"/>
      <c r="J55" s="30"/>
      <c r="K55" s="30"/>
      <c r="L55" s="30"/>
      <c r="M55" s="30">
        <f>SUM('[11]Executive 16th December 2010'!F15)/1000</f>
        <v>-158</v>
      </c>
      <c r="N55" s="30">
        <f>SUM('[11]Executive 16th December 2010'!G15)/1000</f>
        <v>-158</v>
      </c>
      <c r="O55" s="30">
        <f>SUM('[11]Executive 16th December 2010'!H15)/1000</f>
        <v>-158</v>
      </c>
    </row>
    <row r="56" spans="1:15" ht="16.149999999999999" hidden="1" thickBot="1">
      <c r="A56" s="21"/>
      <c r="B56" s="21"/>
      <c r="C56" s="24" t="s">
        <v>329</v>
      </c>
      <c r="D56" s="31" t="e">
        <f>SUM(D51:D55)</f>
        <v>#REF!</v>
      </c>
      <c r="E56" s="31"/>
      <c r="F56" s="31"/>
      <c r="G56" s="31"/>
      <c r="H56" s="31"/>
      <c r="I56" s="31"/>
      <c r="J56" s="31"/>
      <c r="K56" s="31"/>
      <c r="L56" s="31"/>
      <c r="M56" s="31" t="e">
        <f>SUM(M51:M55)</f>
        <v>#REF!</v>
      </c>
      <c r="N56" s="31" t="e">
        <f>SUM(N51:N55)</f>
        <v>#REF!</v>
      </c>
      <c r="O56" s="31" t="e">
        <f>SUM(O51:O55)</f>
        <v>#REF!</v>
      </c>
    </row>
    <row r="57" spans="1:15" hidden="1">
      <c r="A57" s="21"/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idden="1">
      <c r="A58" s="21"/>
      <c r="B58" s="21"/>
      <c r="C58" s="2"/>
      <c r="D58" s="32">
        <f>SUM(D16:D42)</f>
        <v>0</v>
      </c>
      <c r="E58" s="32"/>
      <c r="F58" s="32"/>
      <c r="G58" s="32"/>
      <c r="H58" s="32"/>
      <c r="I58" s="32"/>
      <c r="J58" s="32"/>
      <c r="K58" s="32"/>
      <c r="L58" s="32"/>
      <c r="M58" s="32">
        <f>SUM(M16:M42)</f>
        <v>0</v>
      </c>
      <c r="N58" s="32">
        <f>SUM(N16:N42)</f>
        <v>0</v>
      </c>
      <c r="O58" s="32">
        <f>SUM(O16:O42)</f>
        <v>0</v>
      </c>
    </row>
    <row r="59" spans="1:15" hidden="1">
      <c r="A59" s="21"/>
      <c r="B59" s="2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idden="1">
      <c r="A60" s="21"/>
      <c r="B60" s="21"/>
      <c r="C60" s="2"/>
      <c r="D60" s="33">
        <f>'[11]Executive 16th December 2010'!E17/1000</f>
        <v>17646.22</v>
      </c>
      <c r="E60" s="33"/>
      <c r="F60" s="33"/>
      <c r="G60" s="33"/>
      <c r="H60" s="33"/>
      <c r="I60" s="33"/>
      <c r="J60" s="33"/>
      <c r="K60" s="33"/>
      <c r="L60" s="33"/>
      <c r="M60" s="33">
        <f>'[11]Executive 16th December 2010'!F17/1000</f>
        <v>18426.5</v>
      </c>
      <c r="N60" s="33">
        <f>'[11]Executive 16th December 2010'!G17/1000</f>
        <v>20060.3</v>
      </c>
      <c r="O60" s="33">
        <f>'[11]Executive 16th December 2010'!H17/1000</f>
        <v>20783.82</v>
      </c>
    </row>
    <row r="61" spans="1:15" hidden="1">
      <c r="A61" s="21"/>
      <c r="B61" s="21"/>
      <c r="C61" s="2"/>
      <c r="D61" s="33" t="e">
        <f>D56-D60</f>
        <v>#REF!</v>
      </c>
      <c r="E61" s="33"/>
      <c r="F61" s="33"/>
      <c r="G61" s="33"/>
      <c r="H61" s="33"/>
      <c r="I61" s="33"/>
      <c r="J61" s="33"/>
      <c r="K61" s="33"/>
      <c r="L61" s="33"/>
      <c r="M61" s="33" t="e">
        <f>M56-M60</f>
        <v>#REF!</v>
      </c>
      <c r="N61" s="33" t="e">
        <f>N56-N60</f>
        <v>#REF!</v>
      </c>
      <c r="O61" s="33" t="e">
        <f>O56-O60</f>
        <v>#REF!</v>
      </c>
    </row>
    <row r="62" spans="1:15" hidden="1">
      <c r="A62" s="21"/>
      <c r="B62" s="2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1"/>
      <c r="B63" s="2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1"/>
      <c r="B64" s="21"/>
      <c r="C64" s="2"/>
      <c r="D64" s="2"/>
      <c r="E64" s="2"/>
      <c r="F64" s="2"/>
      <c r="G64" s="2"/>
      <c r="H64" s="2"/>
      <c r="I64" s="2"/>
      <c r="J64" s="2"/>
      <c r="K64" s="2"/>
      <c r="L64" s="32"/>
      <c r="M64" s="2"/>
      <c r="N64" s="2"/>
      <c r="O64" s="2"/>
    </row>
    <row r="65" spans="1:15">
      <c r="A65" s="21"/>
      <c r="B65" s="2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1"/>
      <c r="B66" s="2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1"/>
      <c r="B67" s="2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1"/>
      <c r="B68" s="2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1"/>
      <c r="B69" s="2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1"/>
      <c r="B70" s="2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1"/>
      <c r="B71" s="2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1"/>
      <c r="B72" s="2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1"/>
      <c r="B73" s="2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1"/>
      <c r="B74" s="2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1"/>
      <c r="B75" s="2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1"/>
      <c r="B76" s="2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1"/>
      <c r="B77" s="2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1"/>
      <c r="B78" s="2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1"/>
      <c r="B79" s="2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1"/>
      <c r="B80" s="2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1"/>
      <c r="B81" s="2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1"/>
      <c r="B82" s="2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1"/>
      <c r="B83" s="2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1"/>
      <c r="B84" s="2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1"/>
      <c r="B85" s="2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1"/>
      <c r="B86" s="2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1"/>
      <c r="B87" s="2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1"/>
      <c r="B88" s="2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1"/>
      <c r="B89" s="2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1"/>
      <c r="B90" s="2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1"/>
      <c r="B91" s="2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1"/>
      <c r="B92" s="2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1"/>
      <c r="B93" s="2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1"/>
      <c r="B94" s="2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1"/>
      <c r="B95" s="2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1"/>
      <c r="B96" s="2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1"/>
      <c r="B97" s="2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1"/>
      <c r="B98" s="2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1"/>
      <c r="B99" s="2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1"/>
      <c r="B100" s="2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1"/>
      <c r="B101" s="2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1"/>
      <c r="B102" s="2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1"/>
      <c r="B103" s="2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1"/>
      <c r="B104" s="2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1"/>
      <c r="B105" s="2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1"/>
      <c r="B106" s="2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1"/>
      <c r="B107" s="2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1"/>
      <c r="B108" s="2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1"/>
      <c r="B109" s="2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1"/>
      <c r="B110" s="2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1"/>
      <c r="B111" s="2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1"/>
      <c r="B112" s="2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1"/>
      <c r="B113" s="2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1"/>
      <c r="B114" s="2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1"/>
      <c r="B115" s="2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1"/>
      <c r="B116" s="2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1"/>
      <c r="B117" s="2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1"/>
      <c r="B118" s="2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1"/>
      <c r="B119" s="2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1"/>
      <c r="B120" s="2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1"/>
      <c r="B121" s="2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1"/>
      <c r="B122" s="2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1"/>
      <c r="B123" s="2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1"/>
      <c r="B124" s="2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1"/>
      <c r="B125" s="2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1"/>
      <c r="B126" s="2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1"/>
      <c r="B127" s="2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1"/>
      <c r="B128" s="2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1"/>
      <c r="B129" s="2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1"/>
      <c r="B130" s="2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1"/>
      <c r="B131" s="2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1"/>
      <c r="B132" s="2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1"/>
      <c r="B133" s="2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1"/>
      <c r="B134" s="2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1"/>
      <c r="B135" s="2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1"/>
      <c r="B136" s="2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1"/>
      <c r="B137" s="2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1"/>
      <c r="B138" s="2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1"/>
      <c r="B139" s="2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1"/>
      <c r="B140" s="2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1"/>
      <c r="B141" s="2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1"/>
      <c r="B142" s="2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1"/>
      <c r="B143" s="2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1"/>
      <c r="B144" s="2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</sheetData>
  <mergeCells count="1">
    <mergeCell ref="C46:C49"/>
  </mergeCells>
  <phoneticPr fontId="2" type="noConversion"/>
  <pageMargins left="0.74803149606299213" right="0.74803149606299213" top="1.0236220472440944" bottom="0.51181102362204722" header="0.51181102362204722" footer="0.51181102362204722"/>
  <pageSetup paperSize="9" scale="61" orientation="landscape" r:id="rId1"/>
  <headerFooter alignWithMargins="0">
    <oddHeader>&amp;R&amp;"Arial,Bold"&amp;24Appendix 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1"/>
    <pageSetUpPr fitToPage="1"/>
  </sheetPr>
  <dimension ref="B2:N111"/>
  <sheetViews>
    <sheetView view="pageBreakPreview" topLeftCell="A64" zoomScale="75" zoomScaleNormal="100" zoomScaleSheetLayoutView="75" workbookViewId="0">
      <selection activeCell="E89" sqref="E89"/>
    </sheetView>
  </sheetViews>
  <sheetFormatPr defaultRowHeight="13.15"/>
  <cols>
    <col min="1" max="1" width="3" customWidth="1"/>
    <col min="2" max="2" width="5.140625" customWidth="1"/>
    <col min="3" max="3" width="59.85546875" customWidth="1"/>
    <col min="4" max="4" width="8.140625" hidden="1" customWidth="1"/>
    <col min="5" max="5" width="12" bestFit="1" customWidth="1"/>
    <col min="6" max="6" width="11.85546875" bestFit="1" customWidth="1"/>
    <col min="7" max="7" width="11.7109375" bestFit="1" customWidth="1"/>
    <col min="8" max="8" width="11.85546875" customWidth="1"/>
    <col min="9" max="9" width="10.28515625" customWidth="1"/>
    <col min="11" max="11" width="20" customWidth="1"/>
    <col min="12" max="14" width="11.28515625" bestFit="1" customWidth="1"/>
  </cols>
  <sheetData>
    <row r="2" spans="2:11" ht="21">
      <c r="B2" s="39" t="s">
        <v>18</v>
      </c>
    </row>
    <row r="3" spans="2:11" ht="21">
      <c r="B3" s="39" t="s">
        <v>330</v>
      </c>
    </row>
    <row r="4" spans="2:11" ht="11.25" customHeight="1">
      <c r="B4" s="39"/>
    </row>
    <row r="5" spans="2:11" ht="21">
      <c r="B5" s="39" t="str">
        <f>"Management Team Proposal v.1"</f>
        <v>Management Team Proposal v.1</v>
      </c>
    </row>
    <row r="6" spans="2:11" ht="13.9" thickBot="1"/>
    <row r="7" spans="2:11">
      <c r="B7" s="40"/>
      <c r="C7" s="41"/>
      <c r="D7" s="40"/>
      <c r="E7" s="42" t="s">
        <v>1</v>
      </c>
      <c r="F7" s="43" t="s">
        <v>1</v>
      </c>
      <c r="G7" s="40" t="s">
        <v>1</v>
      </c>
      <c r="H7" s="40" t="s">
        <v>1</v>
      </c>
    </row>
    <row r="8" spans="2:11">
      <c r="B8" s="44"/>
      <c r="C8" s="45"/>
      <c r="D8" s="44"/>
      <c r="E8" s="233" t="s">
        <v>2</v>
      </c>
      <c r="F8" s="199" t="s">
        <v>2</v>
      </c>
      <c r="G8" s="44" t="s">
        <v>2</v>
      </c>
      <c r="H8" s="44" t="s">
        <v>2</v>
      </c>
    </row>
    <row r="9" spans="2:11">
      <c r="B9" s="44" t="s">
        <v>19</v>
      </c>
      <c r="C9" s="45"/>
      <c r="D9" s="44"/>
      <c r="E9" s="234" t="s">
        <v>4</v>
      </c>
      <c r="F9" s="201" t="s">
        <v>5</v>
      </c>
      <c r="G9" s="201" t="s">
        <v>6</v>
      </c>
      <c r="H9" s="44" t="s">
        <v>7</v>
      </c>
    </row>
    <row r="10" spans="2:11">
      <c r="B10" s="46" t="s">
        <v>23</v>
      </c>
      <c r="C10" s="47"/>
      <c r="D10" s="46" t="s">
        <v>65</v>
      </c>
      <c r="E10" s="235" t="s">
        <v>24</v>
      </c>
      <c r="F10" s="203" t="s">
        <v>24</v>
      </c>
      <c r="G10" s="46" t="s">
        <v>24</v>
      </c>
      <c r="H10" s="46" t="s">
        <v>24</v>
      </c>
    </row>
    <row r="11" spans="2:11" ht="13.9" thickBot="1">
      <c r="B11" s="204"/>
      <c r="C11" s="48"/>
      <c r="D11" s="48"/>
      <c r="E11" s="49"/>
      <c r="F11" s="50"/>
      <c r="G11" s="50"/>
      <c r="H11" s="50"/>
    </row>
    <row r="12" spans="2:11" ht="13.9" thickBot="1">
      <c r="B12" s="205">
        <v>1</v>
      </c>
      <c r="C12" s="51" t="s">
        <v>66</v>
      </c>
      <c r="D12" s="51"/>
      <c r="E12" s="52">
        <f>'App A - Final Firming Up'!E38</f>
        <v>18943950</v>
      </c>
      <c r="F12" s="53">
        <f>'App A - Final Firming Up'!F38</f>
        <v>19823400</v>
      </c>
      <c r="G12" s="53">
        <f>'App A - Final Firming Up'!G38</f>
        <v>20409350</v>
      </c>
      <c r="H12" s="53" t="e">
        <f>'App A - Final Firming Up'!#REF!</f>
        <v>#REF!</v>
      </c>
    </row>
    <row r="13" spans="2:11">
      <c r="B13" s="206"/>
      <c r="C13" s="207"/>
      <c r="D13" s="193"/>
      <c r="E13" s="236"/>
      <c r="F13" s="209"/>
      <c r="G13" s="209"/>
      <c r="H13" s="209"/>
    </row>
    <row r="14" spans="2:11">
      <c r="B14" s="206"/>
      <c r="C14" s="54" t="s">
        <v>67</v>
      </c>
      <c r="D14" s="15"/>
      <c r="E14" s="236"/>
      <c r="F14" s="209"/>
      <c r="G14" s="209"/>
      <c r="H14" s="209"/>
    </row>
    <row r="15" spans="2:11">
      <c r="B15" s="206">
        <f>B12+1</f>
        <v>2</v>
      </c>
      <c r="C15" s="207" t="s">
        <v>331</v>
      </c>
      <c r="D15" s="193"/>
      <c r="E15" s="236">
        <f>-7990770-E16</f>
        <v>-7832830</v>
      </c>
      <c r="F15" s="209">
        <v>-7331910</v>
      </c>
      <c r="G15" s="209">
        <v>-6965310</v>
      </c>
      <c r="H15" s="209">
        <f>G15</f>
        <v>-6965310</v>
      </c>
      <c r="K15" s="55"/>
    </row>
    <row r="16" spans="2:11">
      <c r="B16" s="206">
        <f>B15+1</f>
        <v>3</v>
      </c>
      <c r="C16" s="207" t="s">
        <v>332</v>
      </c>
      <c r="D16" s="193"/>
      <c r="E16" s="236">
        <v>-157940</v>
      </c>
      <c r="F16" s="209">
        <v>-157940</v>
      </c>
      <c r="G16" s="209">
        <f>F16</f>
        <v>-157940</v>
      </c>
      <c r="H16" s="209">
        <v>0</v>
      </c>
      <c r="K16" s="55"/>
    </row>
    <row r="17" spans="2:14">
      <c r="B17" s="206">
        <f>B16+1</f>
        <v>4</v>
      </c>
      <c r="C17" s="207" t="s">
        <v>69</v>
      </c>
      <c r="D17" s="193"/>
      <c r="E17" s="236">
        <v>0</v>
      </c>
      <c r="F17" s="209"/>
      <c r="G17" s="209"/>
      <c r="H17" s="209"/>
      <c r="K17" s="55"/>
    </row>
    <row r="18" spans="2:14">
      <c r="B18" s="206">
        <f>B17+1</f>
        <v>5</v>
      </c>
      <c r="C18" s="207" t="s">
        <v>333</v>
      </c>
      <c r="D18" s="193"/>
      <c r="E18" s="236">
        <f>-ROUND(E98,-1)</f>
        <v>-6328700</v>
      </c>
      <c r="F18" s="209">
        <f>-ROUND(F98,-1)</f>
        <v>-6455340</v>
      </c>
      <c r="G18" s="209">
        <f>-ROUND(G98,-1)</f>
        <v>-6584340</v>
      </c>
      <c r="H18" s="209">
        <f>-ROUND(H98,-1)</f>
        <v>-6715980</v>
      </c>
      <c r="K18" s="55"/>
      <c r="L18" s="59"/>
      <c r="M18" s="59"/>
      <c r="N18" s="59"/>
    </row>
    <row r="19" spans="2:14" ht="13.9" thickBot="1">
      <c r="B19" s="206"/>
      <c r="C19" s="207"/>
      <c r="D19" s="193"/>
      <c r="E19" s="236"/>
      <c r="F19" s="209"/>
      <c r="G19" s="209"/>
      <c r="H19" s="209"/>
    </row>
    <row r="20" spans="2:14" ht="12.75" customHeight="1" thickBot="1">
      <c r="B20" s="205">
        <f>B18+1</f>
        <v>6</v>
      </c>
      <c r="C20" s="51" t="s">
        <v>71</v>
      </c>
      <c r="D20" s="51"/>
      <c r="E20" s="52">
        <f>SUM(E12:E19)</f>
        <v>4624480</v>
      </c>
      <c r="F20" s="53">
        <f>SUM(F12:F19)</f>
        <v>5878210</v>
      </c>
      <c r="G20" s="56">
        <f>SUM(G12:G19)</f>
        <v>6701760</v>
      </c>
      <c r="H20" s="56" t="e">
        <f>SUM(H12:H19)</f>
        <v>#REF!</v>
      </c>
    </row>
    <row r="21" spans="2:14">
      <c r="B21" s="206"/>
      <c r="C21" s="207"/>
      <c r="D21" s="193"/>
      <c r="E21" s="236"/>
      <c r="F21" s="209"/>
      <c r="G21" s="210"/>
      <c r="H21" s="210"/>
    </row>
    <row r="22" spans="2:14">
      <c r="B22" s="206"/>
      <c r="C22" s="57" t="s">
        <v>72</v>
      </c>
      <c r="D22" s="207"/>
      <c r="E22" s="236"/>
      <c r="F22" s="209"/>
      <c r="G22" s="210"/>
      <c r="H22" s="210"/>
    </row>
    <row r="23" spans="2:14">
      <c r="B23" s="206"/>
      <c r="C23" s="207"/>
      <c r="D23" s="207"/>
      <c r="E23" s="236"/>
      <c r="F23" s="209"/>
      <c r="G23" s="210"/>
      <c r="H23" s="210"/>
    </row>
    <row r="24" spans="2:14" ht="13.5" customHeight="1">
      <c r="B24" s="206"/>
      <c r="C24" s="84" t="s">
        <v>334</v>
      </c>
      <c r="D24" s="207"/>
      <c r="E24" s="236"/>
      <c r="F24" s="209"/>
      <c r="G24" s="210"/>
      <c r="H24" s="210"/>
      <c r="I24" s="59"/>
      <c r="J24" s="59"/>
    </row>
    <row r="25" spans="2:14" ht="13.5" customHeight="1">
      <c r="B25" s="206">
        <f>B20+1</f>
        <v>7</v>
      </c>
      <c r="C25" s="207" t="s">
        <v>335</v>
      </c>
      <c r="D25" s="207"/>
      <c r="E25" s="236">
        <v>-110000</v>
      </c>
      <c r="F25" s="209">
        <v>0</v>
      </c>
      <c r="G25" s="209">
        <v>0</v>
      </c>
      <c r="H25" s="209">
        <v>0</v>
      </c>
      <c r="I25" s="59"/>
      <c r="J25" s="59"/>
    </row>
    <row r="26" spans="2:14" ht="13.5" customHeight="1">
      <c r="B26" s="206">
        <f t="shared" ref="B26:B35" si="0">B25+1</f>
        <v>8</v>
      </c>
      <c r="C26" s="207" t="s">
        <v>336</v>
      </c>
      <c r="D26" s="207"/>
      <c r="E26" s="236">
        <v>-50000</v>
      </c>
      <c r="F26" s="209">
        <v>0</v>
      </c>
      <c r="G26" s="209">
        <v>0</v>
      </c>
      <c r="H26" s="209">
        <v>0</v>
      </c>
      <c r="I26" s="59"/>
      <c r="J26" s="59"/>
    </row>
    <row r="27" spans="2:14" ht="13.5" customHeight="1">
      <c r="B27" s="206">
        <f t="shared" si="0"/>
        <v>9</v>
      </c>
      <c r="C27" s="207" t="s">
        <v>337</v>
      </c>
      <c r="D27" s="207"/>
      <c r="E27" s="236">
        <v>-12300</v>
      </c>
      <c r="F27" s="209">
        <v>0</v>
      </c>
      <c r="G27" s="209">
        <v>0</v>
      </c>
      <c r="H27" s="209">
        <v>0</v>
      </c>
      <c r="I27" s="59"/>
      <c r="J27" s="59"/>
    </row>
    <row r="28" spans="2:14" ht="13.5" customHeight="1">
      <c r="B28" s="206">
        <f t="shared" si="0"/>
        <v>10</v>
      </c>
      <c r="C28" s="207" t="s">
        <v>338</v>
      </c>
      <c r="D28" s="207"/>
      <c r="E28" s="236">
        <v>-6500</v>
      </c>
      <c r="F28" s="209">
        <v>0</v>
      </c>
      <c r="G28" s="209">
        <v>0</v>
      </c>
      <c r="H28" s="209">
        <v>0</v>
      </c>
      <c r="I28" s="59"/>
      <c r="J28" s="59"/>
    </row>
    <row r="29" spans="2:14" ht="13.5" customHeight="1">
      <c r="B29" s="206">
        <f t="shared" si="0"/>
        <v>11</v>
      </c>
      <c r="C29" s="207" t="s">
        <v>339</v>
      </c>
      <c r="D29" s="207"/>
      <c r="E29" s="236">
        <v>-10000</v>
      </c>
      <c r="F29" s="209">
        <v>0</v>
      </c>
      <c r="G29" s="209">
        <v>0</v>
      </c>
      <c r="H29" s="209">
        <v>0</v>
      </c>
      <c r="I29" s="59"/>
      <c r="J29" s="59"/>
    </row>
    <row r="30" spans="2:14" ht="13.5" customHeight="1">
      <c r="B30" s="206">
        <f t="shared" si="0"/>
        <v>12</v>
      </c>
      <c r="C30" s="207" t="s">
        <v>340</v>
      </c>
      <c r="D30" s="207"/>
      <c r="E30" s="236">
        <v>-50000</v>
      </c>
      <c r="F30" s="209">
        <v>0</v>
      </c>
      <c r="G30" s="209">
        <v>0</v>
      </c>
      <c r="H30" s="209">
        <v>0</v>
      </c>
      <c r="I30" s="59"/>
      <c r="J30" s="59"/>
    </row>
    <row r="31" spans="2:14" ht="13.5" customHeight="1">
      <c r="B31" s="206">
        <f t="shared" si="0"/>
        <v>13</v>
      </c>
      <c r="C31" s="207" t="s">
        <v>341</v>
      </c>
      <c r="D31" s="207"/>
      <c r="E31" s="236">
        <v>-10000</v>
      </c>
      <c r="F31" s="209">
        <v>0</v>
      </c>
      <c r="G31" s="209">
        <v>0</v>
      </c>
      <c r="H31" s="209">
        <v>0</v>
      </c>
      <c r="I31" s="59"/>
      <c r="J31" s="59"/>
    </row>
    <row r="32" spans="2:14" ht="13.5" customHeight="1">
      <c r="B32" s="206">
        <f t="shared" si="0"/>
        <v>14</v>
      </c>
      <c r="C32" s="207" t="s">
        <v>342</v>
      </c>
      <c r="D32" s="207"/>
      <c r="E32" s="236">
        <v>-100000</v>
      </c>
      <c r="F32" s="209">
        <v>0</v>
      </c>
      <c r="G32" s="209">
        <v>0</v>
      </c>
      <c r="H32" s="209">
        <v>0</v>
      </c>
      <c r="I32" s="59"/>
      <c r="J32" s="59"/>
    </row>
    <row r="33" spans="2:10" ht="13.5" customHeight="1">
      <c r="B33" s="206">
        <f t="shared" si="0"/>
        <v>15</v>
      </c>
      <c r="C33" s="207" t="s">
        <v>343</v>
      </c>
      <c r="D33" s="207"/>
      <c r="E33" s="236">
        <v>-50000</v>
      </c>
      <c r="F33" s="209">
        <v>0</v>
      </c>
      <c r="G33" s="209">
        <v>0</v>
      </c>
      <c r="H33" s="209">
        <v>0</v>
      </c>
      <c r="I33" s="59"/>
      <c r="J33" s="59"/>
    </row>
    <row r="34" spans="2:10" ht="13.5" customHeight="1">
      <c r="B34" s="206">
        <f t="shared" si="0"/>
        <v>16</v>
      </c>
      <c r="C34" s="207" t="s">
        <v>344</v>
      </c>
      <c r="D34" s="207"/>
      <c r="E34" s="236">
        <v>-300000</v>
      </c>
      <c r="F34" s="209">
        <v>0</v>
      </c>
      <c r="G34" s="209">
        <v>0</v>
      </c>
      <c r="H34" s="209">
        <v>0</v>
      </c>
      <c r="I34" s="59"/>
      <c r="J34" s="59"/>
    </row>
    <row r="35" spans="2:10" ht="13.5" customHeight="1">
      <c r="B35" s="206">
        <f t="shared" si="0"/>
        <v>17</v>
      </c>
      <c r="C35" s="207" t="s">
        <v>345</v>
      </c>
      <c r="D35" s="207"/>
      <c r="E35" s="236">
        <v>-70000</v>
      </c>
      <c r="F35" s="209">
        <v>0</v>
      </c>
      <c r="G35" s="209">
        <v>0</v>
      </c>
      <c r="H35" s="209">
        <v>0</v>
      </c>
      <c r="I35" s="59"/>
      <c r="J35" s="59"/>
    </row>
    <row r="36" spans="2:10" ht="13.5" customHeight="1">
      <c r="B36" s="206"/>
      <c r="C36" s="207"/>
      <c r="D36" s="207"/>
      <c r="E36" s="236">
        <v>0</v>
      </c>
      <c r="F36" s="209"/>
      <c r="G36" s="210"/>
      <c r="H36" s="210"/>
      <c r="I36" s="59"/>
      <c r="J36" s="59"/>
    </row>
    <row r="37" spans="2:10" ht="13.5" customHeight="1">
      <c r="B37" s="206"/>
      <c r="C37" s="85" t="s">
        <v>346</v>
      </c>
      <c r="D37" s="207"/>
      <c r="E37" s="236">
        <v>0</v>
      </c>
      <c r="F37" s="209"/>
      <c r="G37" s="210"/>
      <c r="H37" s="210"/>
      <c r="I37" s="59"/>
      <c r="J37" s="59"/>
    </row>
    <row r="38" spans="2:10" ht="13.5" customHeight="1">
      <c r="B38" s="206">
        <f>B35+1</f>
        <v>18</v>
      </c>
      <c r="C38" t="s">
        <v>347</v>
      </c>
      <c r="D38" s="207"/>
      <c r="E38" s="236">
        <v>-5250</v>
      </c>
      <c r="F38" s="209">
        <f t="shared" ref="F38:H56" si="1">E38</f>
        <v>-5250</v>
      </c>
      <c r="G38" s="210">
        <f t="shared" si="1"/>
        <v>-5250</v>
      </c>
      <c r="H38" s="210">
        <f t="shared" si="1"/>
        <v>-5250</v>
      </c>
      <c r="I38" s="59"/>
      <c r="J38" s="59"/>
    </row>
    <row r="39" spans="2:10" ht="13.5" customHeight="1">
      <c r="B39" s="206">
        <f>B38+1</f>
        <v>19</v>
      </c>
      <c r="C39" t="s">
        <v>348</v>
      </c>
      <c r="D39" s="207"/>
      <c r="E39" s="236">
        <v>0</v>
      </c>
      <c r="F39" s="209">
        <f t="shared" si="1"/>
        <v>0</v>
      </c>
      <c r="G39" s="210">
        <f t="shared" si="1"/>
        <v>0</v>
      </c>
      <c r="H39" s="210">
        <f t="shared" si="1"/>
        <v>0</v>
      </c>
      <c r="I39" s="59"/>
      <c r="J39" s="59"/>
    </row>
    <row r="40" spans="2:10" ht="13.5" customHeight="1">
      <c r="B40" s="206">
        <f t="shared" ref="B40:B57" si="2">B39+1</f>
        <v>20</v>
      </c>
      <c r="C40" t="s">
        <v>349</v>
      </c>
      <c r="D40" s="207"/>
      <c r="E40" s="236">
        <v>-23000</v>
      </c>
      <c r="F40" s="209">
        <f t="shared" si="1"/>
        <v>-23000</v>
      </c>
      <c r="G40" s="210">
        <f t="shared" si="1"/>
        <v>-23000</v>
      </c>
      <c r="H40" s="210">
        <f t="shared" si="1"/>
        <v>-23000</v>
      </c>
      <c r="I40" s="59"/>
      <c r="J40" s="59"/>
    </row>
    <row r="41" spans="2:10" ht="13.5" customHeight="1">
      <c r="B41" s="206">
        <f t="shared" si="2"/>
        <v>21</v>
      </c>
      <c r="C41" t="s">
        <v>350</v>
      </c>
      <c r="D41" s="207"/>
      <c r="E41" s="236">
        <v>-21000</v>
      </c>
      <c r="F41" s="209">
        <f t="shared" si="1"/>
        <v>-21000</v>
      </c>
      <c r="G41" s="210">
        <f t="shared" si="1"/>
        <v>-21000</v>
      </c>
      <c r="H41" s="210">
        <f t="shared" si="1"/>
        <v>-21000</v>
      </c>
      <c r="I41" s="59"/>
      <c r="J41" s="59"/>
    </row>
    <row r="42" spans="2:10" ht="13.5" customHeight="1">
      <c r="B42" s="206">
        <f t="shared" si="2"/>
        <v>22</v>
      </c>
      <c r="C42" t="s">
        <v>351</v>
      </c>
      <c r="D42" s="207"/>
      <c r="E42" s="236">
        <v>-40000</v>
      </c>
      <c r="F42" s="209">
        <f t="shared" si="1"/>
        <v>-40000</v>
      </c>
      <c r="G42" s="210">
        <f t="shared" si="1"/>
        <v>-40000</v>
      </c>
      <c r="H42" s="210">
        <f t="shared" si="1"/>
        <v>-40000</v>
      </c>
      <c r="I42" s="59"/>
      <c r="J42" s="59"/>
    </row>
    <row r="43" spans="2:10" ht="13.5" customHeight="1">
      <c r="B43" s="206">
        <f t="shared" si="2"/>
        <v>23</v>
      </c>
      <c r="C43" s="207" t="s">
        <v>352</v>
      </c>
      <c r="D43" s="207"/>
      <c r="E43" s="236">
        <v>-68220</v>
      </c>
      <c r="F43" s="209">
        <f t="shared" ref="F43:H44" si="3">E43</f>
        <v>-68220</v>
      </c>
      <c r="G43" s="210">
        <f t="shared" si="3"/>
        <v>-68220</v>
      </c>
      <c r="H43" s="210">
        <f t="shared" si="3"/>
        <v>-68220</v>
      </c>
      <c r="I43" s="59"/>
      <c r="J43" s="59"/>
    </row>
    <row r="44" spans="2:10" ht="13.5" customHeight="1">
      <c r="B44" s="206">
        <f t="shared" si="2"/>
        <v>24</v>
      </c>
      <c r="C44" s="207" t="s">
        <v>353</v>
      </c>
      <c r="D44" s="207"/>
      <c r="E44" s="236">
        <v>-53100</v>
      </c>
      <c r="F44" s="209">
        <f t="shared" si="3"/>
        <v>-53100</v>
      </c>
      <c r="G44" s="210">
        <f t="shared" si="3"/>
        <v>-53100</v>
      </c>
      <c r="H44" s="210">
        <f t="shared" si="3"/>
        <v>-53100</v>
      </c>
      <c r="I44" s="59"/>
      <c r="J44" s="59"/>
    </row>
    <row r="45" spans="2:10" ht="13.5" customHeight="1">
      <c r="B45" s="206">
        <f t="shared" si="2"/>
        <v>25</v>
      </c>
      <c r="C45" s="207" t="s">
        <v>354</v>
      </c>
      <c r="D45" s="207"/>
      <c r="E45" s="236">
        <v>-2500</v>
      </c>
      <c r="F45" s="209">
        <f t="shared" si="1"/>
        <v>-2500</v>
      </c>
      <c r="G45" s="210">
        <f t="shared" si="1"/>
        <v>-2500</v>
      </c>
      <c r="H45" s="210">
        <f t="shared" si="1"/>
        <v>-2500</v>
      </c>
      <c r="I45" s="59"/>
      <c r="J45" s="59"/>
    </row>
    <row r="46" spans="2:10" ht="13.5" customHeight="1">
      <c r="B46" s="206">
        <f t="shared" si="2"/>
        <v>26</v>
      </c>
      <c r="C46" s="207" t="s">
        <v>355</v>
      </c>
      <c r="D46" s="207"/>
      <c r="E46" s="236">
        <v>-7100</v>
      </c>
      <c r="F46" s="209">
        <f t="shared" si="1"/>
        <v>-7100</v>
      </c>
      <c r="G46" s="210">
        <f t="shared" si="1"/>
        <v>-7100</v>
      </c>
      <c r="H46" s="210">
        <f t="shared" si="1"/>
        <v>-7100</v>
      </c>
      <c r="I46" s="59"/>
      <c r="J46" s="59"/>
    </row>
    <row r="47" spans="2:10" ht="13.5" customHeight="1">
      <c r="B47" s="206">
        <f t="shared" si="2"/>
        <v>27</v>
      </c>
      <c r="C47" s="207" t="s">
        <v>356</v>
      </c>
      <c r="D47" s="207"/>
      <c r="E47" s="236">
        <v>-24360</v>
      </c>
      <c r="F47" s="209">
        <f t="shared" si="1"/>
        <v>-24360</v>
      </c>
      <c r="G47" s="210">
        <f t="shared" si="1"/>
        <v>-24360</v>
      </c>
      <c r="H47" s="210">
        <f t="shared" si="1"/>
        <v>-24360</v>
      </c>
      <c r="I47" s="59"/>
      <c r="J47" s="59"/>
    </row>
    <row r="48" spans="2:10" ht="13.5" customHeight="1">
      <c r="B48" s="206">
        <f t="shared" si="2"/>
        <v>28</v>
      </c>
      <c r="C48" s="207" t="s">
        <v>357</v>
      </c>
      <c r="D48" s="207"/>
      <c r="E48" s="236">
        <v>-15000</v>
      </c>
      <c r="F48" s="209">
        <f t="shared" si="1"/>
        <v>-15000</v>
      </c>
      <c r="G48" s="210">
        <f t="shared" si="1"/>
        <v>-15000</v>
      </c>
      <c r="H48" s="210">
        <f t="shared" si="1"/>
        <v>-15000</v>
      </c>
      <c r="I48" s="59"/>
      <c r="J48" s="59"/>
    </row>
    <row r="49" spans="2:10" ht="13.5" customHeight="1">
      <c r="B49" s="206">
        <f t="shared" si="2"/>
        <v>29</v>
      </c>
      <c r="C49" s="207" t="s">
        <v>358</v>
      </c>
      <c r="D49" s="207"/>
      <c r="E49" s="236">
        <v>-42380</v>
      </c>
      <c r="F49" s="209">
        <f t="shared" si="1"/>
        <v>-42380</v>
      </c>
      <c r="G49" s="210">
        <f t="shared" si="1"/>
        <v>-42380</v>
      </c>
      <c r="H49" s="210">
        <f t="shared" si="1"/>
        <v>-42380</v>
      </c>
      <c r="I49" s="59"/>
      <c r="J49" s="59"/>
    </row>
    <row r="50" spans="2:10" ht="13.5" customHeight="1">
      <c r="B50" s="206">
        <f t="shared" si="2"/>
        <v>30</v>
      </c>
      <c r="C50" s="207" t="s">
        <v>359</v>
      </c>
      <c r="D50" s="207"/>
      <c r="E50" s="236">
        <v>-20000</v>
      </c>
      <c r="F50" s="209">
        <f t="shared" si="1"/>
        <v>-20000</v>
      </c>
      <c r="G50" s="210">
        <f t="shared" si="1"/>
        <v>-20000</v>
      </c>
      <c r="H50" s="210">
        <f t="shared" si="1"/>
        <v>-20000</v>
      </c>
      <c r="I50" s="59"/>
      <c r="J50" s="59"/>
    </row>
    <row r="51" spans="2:10" ht="13.5" customHeight="1">
      <c r="B51" s="206">
        <f>B50+1</f>
        <v>31</v>
      </c>
      <c r="C51" s="207" t="s">
        <v>360</v>
      </c>
      <c r="D51" s="207"/>
      <c r="E51" s="236">
        <v>-21930</v>
      </c>
      <c r="F51" s="209">
        <f t="shared" si="1"/>
        <v>-21930</v>
      </c>
      <c r="G51" s="210">
        <f t="shared" si="1"/>
        <v>-21930</v>
      </c>
      <c r="H51" s="210">
        <f t="shared" si="1"/>
        <v>-21930</v>
      </c>
      <c r="I51" s="59"/>
      <c r="J51" s="59"/>
    </row>
    <row r="52" spans="2:10" ht="13.5" customHeight="1">
      <c r="B52" s="206">
        <f t="shared" si="2"/>
        <v>32</v>
      </c>
      <c r="C52" s="207" t="s">
        <v>361</v>
      </c>
      <c r="D52" s="207"/>
      <c r="E52" s="236">
        <v>-28380</v>
      </c>
      <c r="F52" s="209">
        <f t="shared" si="1"/>
        <v>-28380</v>
      </c>
      <c r="G52" s="210">
        <f t="shared" si="1"/>
        <v>-28380</v>
      </c>
      <c r="H52" s="210">
        <f t="shared" si="1"/>
        <v>-28380</v>
      </c>
      <c r="I52" s="59"/>
      <c r="J52" s="59"/>
    </row>
    <row r="53" spans="2:10" ht="13.5" customHeight="1">
      <c r="B53" s="206">
        <f t="shared" si="2"/>
        <v>33</v>
      </c>
      <c r="C53" s="207" t="s">
        <v>362</v>
      </c>
      <c r="D53" s="207"/>
      <c r="E53" s="236">
        <v>-70000</v>
      </c>
      <c r="F53" s="209">
        <f t="shared" si="1"/>
        <v>-70000</v>
      </c>
      <c r="G53" s="210">
        <f t="shared" si="1"/>
        <v>-70000</v>
      </c>
      <c r="H53" s="210">
        <f t="shared" si="1"/>
        <v>-70000</v>
      </c>
      <c r="I53" s="59"/>
      <c r="J53" s="59"/>
    </row>
    <row r="54" spans="2:10" ht="13.5" customHeight="1">
      <c r="B54" s="206">
        <f t="shared" si="2"/>
        <v>34</v>
      </c>
      <c r="C54" s="207" t="s">
        <v>363</v>
      </c>
      <c r="D54" s="207"/>
      <c r="E54" s="236">
        <v>-70000</v>
      </c>
      <c r="F54" s="209">
        <f t="shared" si="1"/>
        <v>-70000</v>
      </c>
      <c r="G54" s="210">
        <f t="shared" si="1"/>
        <v>-70000</v>
      </c>
      <c r="H54" s="210">
        <f t="shared" si="1"/>
        <v>-70000</v>
      </c>
      <c r="I54" s="59"/>
      <c r="J54" s="59"/>
    </row>
    <row r="55" spans="2:10" ht="13.5" customHeight="1">
      <c r="B55" s="206">
        <f t="shared" si="2"/>
        <v>35</v>
      </c>
      <c r="C55" s="207" t="s">
        <v>364</v>
      </c>
      <c r="D55" s="207"/>
      <c r="E55" s="236">
        <v>-30000</v>
      </c>
      <c r="F55" s="209">
        <f t="shared" si="1"/>
        <v>-30000</v>
      </c>
      <c r="G55" s="210">
        <f t="shared" si="1"/>
        <v>-30000</v>
      </c>
      <c r="H55" s="210">
        <f t="shared" si="1"/>
        <v>-30000</v>
      </c>
      <c r="I55" s="59"/>
      <c r="J55" s="59"/>
    </row>
    <row r="56" spans="2:10" ht="13.5" customHeight="1">
      <c r="B56" s="206">
        <f t="shared" si="2"/>
        <v>36</v>
      </c>
      <c r="C56" s="207" t="s">
        <v>365</v>
      </c>
      <c r="D56" s="207"/>
      <c r="E56" s="236">
        <v>-100000</v>
      </c>
      <c r="F56" s="209">
        <f t="shared" si="1"/>
        <v>-100000</v>
      </c>
      <c r="G56" s="210">
        <f t="shared" si="1"/>
        <v>-100000</v>
      </c>
      <c r="H56" s="210">
        <f t="shared" si="1"/>
        <v>-100000</v>
      </c>
      <c r="I56" s="59"/>
      <c r="J56" s="59"/>
    </row>
    <row r="57" spans="2:10" ht="13.5" customHeight="1">
      <c r="B57" s="206">
        <f t="shared" si="2"/>
        <v>37</v>
      </c>
      <c r="C57" s="207" t="s">
        <v>366</v>
      </c>
      <c r="D57" s="207"/>
      <c r="E57" s="236">
        <v>-62800</v>
      </c>
      <c r="F57" s="209">
        <f>E57</f>
        <v>-62800</v>
      </c>
      <c r="G57" s="210">
        <f>F57</f>
        <v>-62800</v>
      </c>
      <c r="H57" s="210">
        <f>G57</f>
        <v>-62800</v>
      </c>
      <c r="I57" s="59"/>
      <c r="J57" s="59"/>
    </row>
    <row r="58" spans="2:10">
      <c r="B58" s="206">
        <f>B57+1</f>
        <v>38</v>
      </c>
      <c r="C58" s="57" t="s">
        <v>97</v>
      </c>
      <c r="D58" s="57"/>
      <c r="E58" s="60">
        <f>SUM(E24:E57)</f>
        <v>-1473820</v>
      </c>
      <c r="F58" s="61">
        <f>SUM(F24:F57)</f>
        <v>-705020</v>
      </c>
      <c r="G58" s="61">
        <f>SUM(G24:G57)</f>
        <v>-705020</v>
      </c>
      <c r="H58" s="61">
        <f>SUM(H24:H57)</f>
        <v>-705020</v>
      </c>
    </row>
    <row r="59" spans="2:10">
      <c r="B59" s="206"/>
      <c r="C59" s="57"/>
      <c r="D59" s="57"/>
      <c r="E59" s="82"/>
      <c r="F59" s="83"/>
      <c r="G59" s="83"/>
      <c r="H59" s="83"/>
    </row>
    <row r="60" spans="2:10">
      <c r="B60" s="206"/>
      <c r="C60" s="57"/>
      <c r="D60" s="57"/>
      <c r="E60" s="82"/>
      <c r="F60" s="83"/>
      <c r="G60" s="83"/>
      <c r="H60" s="83"/>
    </row>
    <row r="61" spans="2:10">
      <c r="B61" s="206"/>
      <c r="C61" s="57" t="s">
        <v>367</v>
      </c>
      <c r="D61" s="57"/>
      <c r="E61" s="82"/>
      <c r="F61" s="83"/>
      <c r="G61" s="83"/>
      <c r="H61" s="83"/>
    </row>
    <row r="62" spans="2:10">
      <c r="B62" s="206">
        <f>B58+1</f>
        <v>39</v>
      </c>
      <c r="C62" s="207" t="s">
        <v>368</v>
      </c>
      <c r="D62" s="57"/>
      <c r="E62" s="236">
        <v>211000</v>
      </c>
      <c r="F62" s="83">
        <v>0</v>
      </c>
      <c r="G62" s="83">
        <v>0</v>
      </c>
      <c r="H62" s="83">
        <v>0</v>
      </c>
    </row>
    <row r="63" spans="2:10">
      <c r="B63" s="206">
        <f>B62+1</f>
        <v>40</v>
      </c>
      <c r="C63" s="207" t="s">
        <v>369</v>
      </c>
      <c r="D63" s="57"/>
      <c r="E63" s="236">
        <v>165000</v>
      </c>
      <c r="F63" s="83">
        <v>0</v>
      </c>
      <c r="G63" s="83">
        <v>0</v>
      </c>
      <c r="H63" s="83">
        <v>0</v>
      </c>
    </row>
    <row r="64" spans="2:10">
      <c r="B64" s="206">
        <f>B63+1</f>
        <v>41</v>
      </c>
      <c r="C64" s="207" t="s">
        <v>370</v>
      </c>
      <c r="D64" s="57"/>
      <c r="E64" s="236">
        <v>17000</v>
      </c>
      <c r="F64" s="83">
        <v>0</v>
      </c>
      <c r="G64" s="83">
        <v>0</v>
      </c>
      <c r="H64" s="83">
        <v>0</v>
      </c>
    </row>
    <row r="65" spans="2:11">
      <c r="B65" s="206"/>
      <c r="C65" s="57"/>
      <c r="D65" s="57"/>
      <c r="E65" s="60">
        <f>SUM(E62:E64)</f>
        <v>393000</v>
      </c>
      <c r="F65" s="61">
        <f>SUM(F62:F64)</f>
        <v>0</v>
      </c>
      <c r="G65" s="61">
        <f>SUM(G62:G64)</f>
        <v>0</v>
      </c>
      <c r="H65" s="61">
        <f>SUM(H62:H64)</f>
        <v>0</v>
      </c>
    </row>
    <row r="66" spans="2:11">
      <c r="B66" s="206"/>
      <c r="C66" s="207"/>
      <c r="D66" s="207"/>
      <c r="E66" s="236"/>
      <c r="F66" s="209"/>
      <c r="G66" s="210"/>
      <c r="H66" s="210"/>
    </row>
    <row r="67" spans="2:11">
      <c r="B67" s="206">
        <f>B64+1</f>
        <v>42</v>
      </c>
      <c r="C67" s="58" t="s">
        <v>16</v>
      </c>
      <c r="D67" s="207"/>
      <c r="E67" s="237">
        <f>E92</f>
        <v>-1625590</v>
      </c>
      <c r="F67" s="212">
        <f>F92</f>
        <v>-1688600</v>
      </c>
      <c r="G67" s="213">
        <f>G92</f>
        <v>-1606910</v>
      </c>
      <c r="H67" s="213">
        <f>H92</f>
        <v>-1250000</v>
      </c>
    </row>
    <row r="68" spans="2:11">
      <c r="B68" s="206"/>
      <c r="C68" s="58"/>
      <c r="D68" s="207"/>
      <c r="E68" s="237"/>
      <c r="F68" s="212"/>
      <c r="G68" s="213"/>
      <c r="H68" s="213"/>
    </row>
    <row r="69" spans="2:11">
      <c r="B69" s="206">
        <f>B67+1</f>
        <v>43</v>
      </c>
      <c r="C69" s="58" t="s">
        <v>98</v>
      </c>
      <c r="D69" s="207"/>
      <c r="E69" s="237">
        <v>0</v>
      </c>
      <c r="F69" s="212">
        <v>0</v>
      </c>
      <c r="G69" s="213">
        <f>-F71</f>
        <v>-3484590</v>
      </c>
      <c r="H69" s="213">
        <f>G69-G71</f>
        <v>-4389830</v>
      </c>
      <c r="J69" s="59"/>
    </row>
    <row r="70" spans="2:11" ht="13.9" thickBot="1">
      <c r="B70" s="206"/>
      <c r="C70" s="58"/>
      <c r="D70" s="207"/>
      <c r="E70" s="237"/>
      <c r="F70" s="212"/>
      <c r="G70" s="213"/>
      <c r="H70" s="213"/>
    </row>
    <row r="71" spans="2:11" ht="12.75" customHeight="1" thickBot="1">
      <c r="B71" s="62">
        <f>B69+1</f>
        <v>44</v>
      </c>
      <c r="C71" s="51" t="s">
        <v>99</v>
      </c>
      <c r="D71" s="51"/>
      <c r="E71" s="52">
        <f>E20+E58+E67+E65</f>
        <v>1918070</v>
      </c>
      <c r="F71" s="52">
        <f>F20+F58+F67+F65</f>
        <v>3484590</v>
      </c>
      <c r="G71" s="52">
        <f>G20+G58+G67+G65+G69</f>
        <v>905240</v>
      </c>
      <c r="H71" s="52" t="e">
        <f>H20+H58+H67+H65+H69</f>
        <v>#REF!</v>
      </c>
    </row>
    <row r="72" spans="2:11" ht="13.9" thickBot="1"/>
    <row r="73" spans="2:11" ht="13.9" thickBot="1">
      <c r="B73" s="63">
        <f>B71+1</f>
        <v>45</v>
      </c>
      <c r="C73" s="64" t="s">
        <v>100</v>
      </c>
      <c r="D73" s="64"/>
      <c r="E73" s="65">
        <f>E71</f>
        <v>1918070</v>
      </c>
      <c r="F73" s="66">
        <f>E73+F71</f>
        <v>5402660</v>
      </c>
      <c r="G73" s="66">
        <f>F73+G71</f>
        <v>6307900</v>
      </c>
      <c r="H73" s="67" t="e">
        <f>G73+H71</f>
        <v>#REF!</v>
      </c>
      <c r="J73" s="59"/>
    </row>
    <row r="75" spans="2:11" ht="13.9" thickBot="1">
      <c r="F75" s="59"/>
    </row>
    <row r="76" spans="2:11" ht="18" thickBot="1">
      <c r="B76" s="254" t="s">
        <v>101</v>
      </c>
      <c r="C76" s="255"/>
      <c r="D76" s="255"/>
      <c r="E76" s="255"/>
      <c r="F76" s="255"/>
      <c r="G76" s="255"/>
      <c r="H76" s="256"/>
      <c r="J76" s="59"/>
      <c r="K76" s="59"/>
    </row>
    <row r="77" spans="2:11">
      <c r="B77" s="87"/>
      <c r="C77" s="88"/>
      <c r="D77" s="88"/>
      <c r="E77" s="214"/>
      <c r="F77" s="215"/>
      <c r="G77" s="215"/>
      <c r="H77" s="216"/>
    </row>
    <row r="78" spans="2:11">
      <c r="B78" s="68"/>
      <c r="E78" s="220"/>
      <c r="F78" s="221"/>
      <c r="G78" s="221"/>
      <c r="H78" s="218"/>
    </row>
    <row r="79" spans="2:11">
      <c r="B79" s="219"/>
      <c r="C79" s="69" t="s">
        <v>102</v>
      </c>
      <c r="D79" s="220">
        <v>-75000</v>
      </c>
      <c r="E79" s="220">
        <v>-62800</v>
      </c>
      <c r="F79" s="221">
        <v>-61830</v>
      </c>
      <c r="G79" s="221"/>
      <c r="H79" s="218"/>
    </row>
    <row r="80" spans="2:11">
      <c r="B80" s="219"/>
      <c r="C80" s="69" t="s">
        <v>104</v>
      </c>
      <c r="D80" s="220">
        <v>-58310</v>
      </c>
      <c r="E80" s="220">
        <v>-250000</v>
      </c>
      <c r="F80" s="221"/>
      <c r="G80" s="221"/>
      <c r="H80" s="218"/>
    </row>
    <row r="81" spans="2:8">
      <c r="B81" s="219"/>
      <c r="C81" s="69" t="s">
        <v>105</v>
      </c>
      <c r="D81" s="220"/>
      <c r="E81" s="220">
        <v>-100000</v>
      </c>
      <c r="F81" s="221">
        <v>-100000</v>
      </c>
      <c r="G81" s="221">
        <v>-100000</v>
      </c>
      <c r="H81" s="218"/>
    </row>
    <row r="82" spans="2:8">
      <c r="B82" s="219"/>
      <c r="C82" s="69" t="s">
        <v>106</v>
      </c>
      <c r="D82" s="220">
        <v>-508970</v>
      </c>
      <c r="E82" s="220">
        <v>-20000</v>
      </c>
      <c r="F82" s="221"/>
      <c r="G82" s="221"/>
      <c r="H82" s="218"/>
    </row>
    <row r="83" spans="2:8">
      <c r="B83" s="219"/>
      <c r="C83" s="69" t="s">
        <v>110</v>
      </c>
      <c r="D83" s="220">
        <v>-100000</v>
      </c>
      <c r="E83" s="220">
        <v>-150000</v>
      </c>
      <c r="F83" s="221">
        <v>-150000</v>
      </c>
      <c r="G83" s="221">
        <v>-150000</v>
      </c>
      <c r="H83" s="218"/>
    </row>
    <row r="84" spans="2:8">
      <c r="B84" s="219"/>
      <c r="C84" s="69" t="s">
        <v>371</v>
      </c>
      <c r="D84" s="220">
        <f>-499470-109190</f>
        <v>-608660</v>
      </c>
      <c r="E84" s="220">
        <v>-84440</v>
      </c>
      <c r="F84" s="221">
        <v>-26770</v>
      </c>
      <c r="G84" s="221">
        <v>-6910</v>
      </c>
      <c r="H84" s="218"/>
    </row>
    <row r="85" spans="2:8">
      <c r="B85" s="219"/>
      <c r="C85" s="69" t="s">
        <v>112</v>
      </c>
      <c r="D85" s="223"/>
      <c r="E85" s="220">
        <v>-100000</v>
      </c>
      <c r="F85" s="221">
        <v>-100000</v>
      </c>
      <c r="G85" s="221">
        <v>-100000</v>
      </c>
      <c r="H85" s="218"/>
    </row>
    <row r="86" spans="2:8">
      <c r="B86" s="219"/>
      <c r="C86" s="69" t="s">
        <v>117</v>
      </c>
      <c r="D86" s="48"/>
      <c r="E86" s="224">
        <f>SUM(E79:E85)</f>
        <v>-767240</v>
      </c>
      <c r="F86" s="226">
        <f>SUM(F79:F85)</f>
        <v>-438600</v>
      </c>
      <c r="G86" s="226">
        <f>SUM(G79:G85)</f>
        <v>-356910</v>
      </c>
      <c r="H86" s="226">
        <f>SUM(H79:H85)</f>
        <v>0</v>
      </c>
    </row>
    <row r="87" spans="2:8">
      <c r="B87" s="68"/>
      <c r="E87" s="220"/>
      <c r="F87" s="221"/>
      <c r="G87" s="221"/>
      <c r="H87" s="225"/>
    </row>
    <row r="88" spans="2:8">
      <c r="B88" s="68"/>
      <c r="C88" s="69" t="s">
        <v>118</v>
      </c>
      <c r="E88" s="220">
        <v>-1250000</v>
      </c>
      <c r="F88" s="221">
        <v>-1250000</v>
      </c>
      <c r="G88" s="221">
        <v>-1250000</v>
      </c>
      <c r="H88" s="225">
        <v>-1250000</v>
      </c>
    </row>
    <row r="89" spans="2:8">
      <c r="B89" s="68"/>
      <c r="C89" s="69" t="s">
        <v>372</v>
      </c>
      <c r="E89" s="227">
        <f>354150+7030+77100-24000-4270-8700-13000+3340</f>
        <v>391650</v>
      </c>
      <c r="F89" s="228"/>
      <c r="G89" s="228"/>
      <c r="H89" s="225"/>
    </row>
    <row r="90" spans="2:8">
      <c r="B90" s="68"/>
      <c r="E90" s="224">
        <f>SUM(E88:E89)</f>
        <v>-858350</v>
      </c>
      <c r="F90" s="226">
        <f>SUM(F88:F89)</f>
        <v>-1250000</v>
      </c>
      <c r="G90" s="226">
        <f>SUM(G88:G89)</f>
        <v>-1250000</v>
      </c>
      <c r="H90" s="90">
        <f>SUM(H88:H89)</f>
        <v>-1250000</v>
      </c>
    </row>
    <row r="91" spans="2:8" ht="13.9" thickBot="1">
      <c r="B91" s="68"/>
      <c r="E91" s="220"/>
      <c r="F91" s="221"/>
      <c r="G91" s="221"/>
      <c r="H91" s="225"/>
    </row>
    <row r="92" spans="2:8" ht="13.9" thickBot="1">
      <c r="B92" s="70"/>
      <c r="C92" s="71" t="s">
        <v>121</v>
      </c>
      <c r="D92" s="72"/>
      <c r="E92" s="65">
        <f>E86+E90</f>
        <v>-1625590</v>
      </c>
      <c r="F92" s="73">
        <f>F86+F90</f>
        <v>-1688600</v>
      </c>
      <c r="G92" s="73">
        <f>G86+G90</f>
        <v>-1606910</v>
      </c>
      <c r="H92" s="73">
        <f>H86+H90</f>
        <v>-1250000</v>
      </c>
    </row>
    <row r="94" spans="2:8">
      <c r="B94" t="s">
        <v>122</v>
      </c>
      <c r="D94">
        <v>26084</v>
      </c>
      <c r="E94" s="74">
        <v>26327.9</v>
      </c>
      <c r="F94" s="74">
        <f>E94</f>
        <v>26327.9</v>
      </c>
      <c r="G94" s="74">
        <f>F94</f>
        <v>26327.9</v>
      </c>
      <c r="H94" s="74">
        <f>G94</f>
        <v>26327.9</v>
      </c>
    </row>
    <row r="95" spans="2:8">
      <c r="B95" t="s">
        <v>123</v>
      </c>
      <c r="E95" s="75">
        <v>0</v>
      </c>
      <c r="F95" s="75">
        <v>0.02</v>
      </c>
      <c r="G95" s="75">
        <v>0.02</v>
      </c>
      <c r="H95" s="75">
        <v>0.02</v>
      </c>
    </row>
    <row r="96" spans="2:8">
      <c r="B96" s="76" t="s">
        <v>124</v>
      </c>
      <c r="D96" s="76">
        <v>240.38</v>
      </c>
      <c r="E96" s="77">
        <f>ROUND(D96*(1+E95),2)</f>
        <v>240.38</v>
      </c>
      <c r="F96" s="77">
        <f>ROUND(E96*(1+F95),2)</f>
        <v>245.19</v>
      </c>
      <c r="G96" s="77">
        <f>ROUND(F96*(1+G95),2)</f>
        <v>250.09</v>
      </c>
      <c r="H96" s="77">
        <f>ROUND(G96*(1+H95),2)</f>
        <v>255.09</v>
      </c>
    </row>
    <row r="97" spans="2:8" ht="13.9" thickBot="1"/>
    <row r="98" spans="2:8" ht="13.9" thickBot="1">
      <c r="C98" t="s">
        <v>125</v>
      </c>
      <c r="D98">
        <f>D94*D96</f>
        <v>6270071.9199999999</v>
      </c>
      <c r="E98" s="65">
        <f>E94*E96</f>
        <v>6328700.602</v>
      </c>
      <c r="F98" s="78">
        <f>F94*F96</f>
        <v>6455337.801</v>
      </c>
      <c r="G98" s="78">
        <f>G94*G96</f>
        <v>6584344.5110000009</v>
      </c>
      <c r="H98" s="79">
        <f>H94*H96</f>
        <v>6715984.0110000009</v>
      </c>
    </row>
    <row r="100" spans="2:8">
      <c r="E100" s="59">
        <f>E12+E58+E67</f>
        <v>15844540</v>
      </c>
      <c r="F100" s="59">
        <f>F12+F58+F67</f>
        <v>17429780</v>
      </c>
      <c r="G100" s="59">
        <f>G12+G58+G67</f>
        <v>18097420</v>
      </c>
      <c r="H100" s="59" t="e">
        <f>H12+H58+H67</f>
        <v>#REF!</v>
      </c>
    </row>
    <row r="102" spans="2:8">
      <c r="B102" s="80" t="s">
        <v>131</v>
      </c>
    </row>
    <row r="104" spans="2:8">
      <c r="B104" t="s">
        <v>127</v>
      </c>
      <c r="E104" s="59">
        <f>E12</f>
        <v>18943950</v>
      </c>
      <c r="F104" s="59">
        <f>F12</f>
        <v>19823400</v>
      </c>
      <c r="G104" s="59">
        <f>G12</f>
        <v>20409350</v>
      </c>
      <c r="H104" s="59" t="e">
        <f>H12</f>
        <v>#REF!</v>
      </c>
    </row>
    <row r="105" spans="2:8">
      <c r="B105" t="s">
        <v>128</v>
      </c>
      <c r="E105" s="59">
        <f>E58</f>
        <v>-1473820</v>
      </c>
      <c r="F105" s="59">
        <f>E105+-F71</f>
        <v>-4958410</v>
      </c>
      <c r="G105" s="59">
        <f>F105-G71</f>
        <v>-5863650</v>
      </c>
      <c r="H105" s="59" t="e">
        <f>G105-H71</f>
        <v>#REF!</v>
      </c>
    </row>
    <row r="106" spans="2:8">
      <c r="B106" t="s">
        <v>130</v>
      </c>
      <c r="E106" s="59">
        <f>E65</f>
        <v>393000</v>
      </c>
      <c r="F106" s="59">
        <f>F65</f>
        <v>0</v>
      </c>
      <c r="G106" s="59">
        <f>G65</f>
        <v>0</v>
      </c>
      <c r="H106" s="59">
        <f>H65</f>
        <v>0</v>
      </c>
    </row>
    <row r="107" spans="2:8">
      <c r="B107" t="s">
        <v>16</v>
      </c>
      <c r="E107" s="59">
        <f>E67</f>
        <v>-1625590</v>
      </c>
      <c r="F107" s="59">
        <f>F67</f>
        <v>-1688600</v>
      </c>
      <c r="G107" s="59">
        <f>G67</f>
        <v>-1606910</v>
      </c>
      <c r="H107" s="59">
        <f>H67</f>
        <v>-1250000</v>
      </c>
    </row>
    <row r="108" spans="2:8">
      <c r="B108" s="76" t="s">
        <v>131</v>
      </c>
      <c r="C108" s="76"/>
      <c r="D108" s="76"/>
      <c r="E108" s="81">
        <f>SUM(E104:E107)</f>
        <v>16237540</v>
      </c>
      <c r="F108" s="81">
        <f>SUM(F104:F107)</f>
        <v>13176390</v>
      </c>
      <c r="G108" s="81">
        <f>SUM(G104:G107)</f>
        <v>12938790</v>
      </c>
      <c r="H108" s="81" t="e">
        <f>SUM(H104:H107)</f>
        <v>#REF!</v>
      </c>
    </row>
    <row r="110" spans="2:8">
      <c r="B110" t="s">
        <v>67</v>
      </c>
      <c r="E110" s="59">
        <f>SUM(E15:E18)</f>
        <v>-14319470</v>
      </c>
      <c r="F110" s="59">
        <f>SUM(F15:F18)</f>
        <v>-13945190</v>
      </c>
      <c r="G110" s="59">
        <f>SUM(G15:G18)</f>
        <v>-13707590</v>
      </c>
      <c r="H110" s="59">
        <f>SUM(H15:H18)</f>
        <v>-13681290</v>
      </c>
    </row>
    <row r="111" spans="2:8">
      <c r="F111" s="59"/>
      <c r="G111" s="59"/>
      <c r="H111" s="59"/>
    </row>
  </sheetData>
  <mergeCells count="1">
    <mergeCell ref="B76:H76"/>
  </mergeCells>
  <phoneticPr fontId="2" type="noConversion"/>
  <pageMargins left="0.39" right="0.28999999999999998" top="0.61" bottom="0.53" header="0.38" footer="0.5"/>
  <pageSetup paperSize="9" scale="53" orientation="portrait" r:id="rId1"/>
  <headerFooter alignWithMargins="0">
    <oddHeader>&amp;R&amp;"Arial,Bold"&amp;20Appendix 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1:G70"/>
  <sheetViews>
    <sheetView topLeftCell="A40" workbookViewId="0">
      <selection activeCell="B55" sqref="B55"/>
    </sheetView>
  </sheetViews>
  <sheetFormatPr defaultRowHeight="13.15"/>
  <cols>
    <col min="1" max="1" width="5.140625" customWidth="1"/>
    <col min="2" max="2" width="63.42578125" customWidth="1"/>
    <col min="3" max="3" width="11.28515625" customWidth="1"/>
    <col min="4" max="4" width="3.140625" customWidth="1"/>
    <col min="5" max="5" width="11.28515625" bestFit="1" customWidth="1"/>
    <col min="6" max="6" width="2.85546875" customWidth="1"/>
    <col min="7" max="7" width="11.28515625" customWidth="1"/>
  </cols>
  <sheetData>
    <row r="1" spans="1:7" ht="21">
      <c r="A1" s="39" t="s">
        <v>330</v>
      </c>
    </row>
    <row r="2" spans="1:7" ht="21">
      <c r="A2" s="39"/>
    </row>
    <row r="3" spans="1:7" ht="21">
      <c r="A3" s="91" t="s">
        <v>373</v>
      </c>
    </row>
    <row r="5" spans="1:7">
      <c r="A5" s="238"/>
      <c r="B5" s="69"/>
    </row>
    <row r="6" spans="1:7">
      <c r="A6" s="92" t="s">
        <v>374</v>
      </c>
    </row>
    <row r="7" spans="1:7">
      <c r="A7" s="92" t="s">
        <v>375</v>
      </c>
    </row>
    <row r="8" spans="1:7" ht="13.9" thickBot="1">
      <c r="A8" s="69"/>
    </row>
    <row r="9" spans="1:7">
      <c r="A9" s="239"/>
      <c r="B9" s="94"/>
      <c r="C9" s="42"/>
      <c r="D9" s="95"/>
      <c r="E9" s="96"/>
      <c r="G9" s="97" t="s">
        <v>323</v>
      </c>
    </row>
    <row r="10" spans="1:7">
      <c r="A10" s="204"/>
      <c r="B10" s="69"/>
      <c r="C10" s="233" t="s">
        <v>144</v>
      </c>
      <c r="D10" s="95"/>
      <c r="E10" s="198" t="s">
        <v>376</v>
      </c>
      <c r="G10" s="240" t="s">
        <v>324</v>
      </c>
    </row>
    <row r="11" spans="1:7">
      <c r="A11" s="204"/>
      <c r="B11" s="69"/>
      <c r="C11" s="233" t="s">
        <v>377</v>
      </c>
      <c r="D11" s="95"/>
      <c r="E11" s="198" t="s">
        <v>378</v>
      </c>
      <c r="G11" s="240" t="s">
        <v>378</v>
      </c>
    </row>
    <row r="12" spans="1:7" ht="13.9" thickBot="1">
      <c r="A12" s="98" t="s">
        <v>23</v>
      </c>
      <c r="B12" s="99"/>
      <c r="C12" s="241" t="s">
        <v>24</v>
      </c>
      <c r="D12" s="95"/>
      <c r="E12" s="202" t="s">
        <v>24</v>
      </c>
      <c r="G12" s="242" t="s">
        <v>24</v>
      </c>
    </row>
    <row r="13" spans="1:7" ht="12.75" customHeight="1">
      <c r="A13" s="243"/>
      <c r="C13" s="68"/>
      <c r="E13" s="68"/>
      <c r="G13" s="68"/>
    </row>
    <row r="14" spans="1:7" ht="12.75" customHeight="1">
      <c r="A14" s="243"/>
      <c r="B14" s="100" t="s">
        <v>379</v>
      </c>
      <c r="C14" s="68"/>
      <c r="E14" s="68"/>
      <c r="G14" s="68"/>
    </row>
    <row r="15" spans="1:7" ht="12.75" customHeight="1">
      <c r="A15" s="243"/>
      <c r="C15" s="68"/>
      <c r="E15" s="68"/>
      <c r="G15" s="68"/>
    </row>
    <row r="16" spans="1:7" s="93" customFormat="1" ht="12.75" customHeight="1">
      <c r="A16" s="204">
        <v>1</v>
      </c>
      <c r="B16" s="69" t="s">
        <v>380</v>
      </c>
      <c r="C16" s="244">
        <v>33000</v>
      </c>
      <c r="D16" s="245"/>
      <c r="E16" s="244">
        <f>C16</f>
        <v>33000</v>
      </c>
      <c r="F16" s="245"/>
      <c r="G16" s="244">
        <f>E16</f>
        <v>33000</v>
      </c>
    </row>
    <row r="17" spans="1:7" s="93" customFormat="1" ht="12.75" customHeight="1">
      <c r="A17" s="204">
        <f>A16+1</f>
        <v>2</v>
      </c>
      <c r="B17" s="69" t="s">
        <v>381</v>
      </c>
      <c r="C17" s="246">
        <v>50000</v>
      </c>
      <c r="D17" s="247"/>
      <c r="E17" s="246">
        <f>C17</f>
        <v>50000</v>
      </c>
      <c r="F17" s="245"/>
      <c r="G17" s="246">
        <f>E17</f>
        <v>50000</v>
      </c>
    </row>
    <row r="18" spans="1:7" s="93" customFormat="1" ht="12.75" customHeight="1">
      <c r="A18" s="204">
        <f>A17+1</f>
        <v>3</v>
      </c>
      <c r="B18" s="69" t="s">
        <v>382</v>
      </c>
      <c r="C18" s="246">
        <v>7500</v>
      </c>
      <c r="D18" s="247"/>
      <c r="E18" s="246">
        <f>C18</f>
        <v>7500</v>
      </c>
      <c r="F18" s="245"/>
      <c r="G18" s="246">
        <f>E18</f>
        <v>7500</v>
      </c>
    </row>
    <row r="19" spans="1:7" s="93" customFormat="1" ht="12.75" customHeight="1">
      <c r="A19" s="204"/>
      <c r="B19" s="69" t="s">
        <v>383</v>
      </c>
      <c r="C19" s="246"/>
      <c r="D19" s="247"/>
      <c r="E19" s="246"/>
      <c r="F19" s="245"/>
      <c r="G19" s="246"/>
    </row>
    <row r="20" spans="1:7" s="93" customFormat="1" ht="12.75" customHeight="1">
      <c r="A20" s="204">
        <f>A18+1</f>
        <v>4</v>
      </c>
      <c r="B20" s="248" t="s">
        <v>384</v>
      </c>
      <c r="C20" s="246">
        <v>80000</v>
      </c>
      <c r="D20" s="247"/>
      <c r="E20" s="246">
        <f>C20</f>
        <v>80000</v>
      </c>
      <c r="F20" s="245"/>
      <c r="G20" s="246">
        <f>E20</f>
        <v>80000</v>
      </c>
    </row>
    <row r="21" spans="1:7" s="93" customFormat="1" ht="12.75" customHeight="1">
      <c r="A21" s="204">
        <f t="shared" ref="A21:A29" si="0">A20+1</f>
        <v>5</v>
      </c>
      <c r="B21" s="248" t="s">
        <v>385</v>
      </c>
      <c r="C21" s="246">
        <v>18000</v>
      </c>
      <c r="D21" s="247"/>
      <c r="E21" s="246">
        <f>C21</f>
        <v>18000</v>
      </c>
      <c r="F21" s="245"/>
      <c r="G21" s="246">
        <f>E21</f>
        <v>18000</v>
      </c>
    </row>
    <row r="22" spans="1:7" s="93" customFormat="1" ht="12.75" customHeight="1">
      <c r="A22" s="204">
        <f t="shared" si="0"/>
        <v>6</v>
      </c>
      <c r="B22" s="248" t="s">
        <v>386</v>
      </c>
      <c r="C22" s="246">
        <v>5000</v>
      </c>
      <c r="D22" s="247"/>
      <c r="E22" s="246">
        <f>C22</f>
        <v>5000</v>
      </c>
      <c r="F22" s="245"/>
      <c r="G22" s="246">
        <f>E22</f>
        <v>5000</v>
      </c>
    </row>
    <row r="23" spans="1:7" s="93" customFormat="1" ht="12.75" customHeight="1">
      <c r="A23" s="204">
        <f t="shared" si="0"/>
        <v>7</v>
      </c>
      <c r="B23" s="248" t="s">
        <v>387</v>
      </c>
      <c r="C23" s="246">
        <v>60000</v>
      </c>
      <c r="D23" s="247"/>
      <c r="E23" s="246">
        <f>C23</f>
        <v>60000</v>
      </c>
      <c r="F23" s="245"/>
      <c r="G23" s="246">
        <f>E23</f>
        <v>60000</v>
      </c>
    </row>
    <row r="24" spans="1:7" s="93" customFormat="1" ht="12.75" customHeight="1">
      <c r="A24" s="204">
        <f t="shared" si="0"/>
        <v>8</v>
      </c>
      <c r="B24" s="248" t="s">
        <v>388</v>
      </c>
      <c r="C24" s="246">
        <v>5000</v>
      </c>
      <c r="D24" s="247"/>
      <c r="E24" s="246">
        <f>C24</f>
        <v>5000</v>
      </c>
      <c r="F24" s="245"/>
      <c r="G24" s="246">
        <f>E24</f>
        <v>5000</v>
      </c>
    </row>
    <row r="25" spans="1:7" s="93" customFormat="1" ht="12.75" customHeight="1">
      <c r="A25" s="204">
        <f t="shared" si="0"/>
        <v>9</v>
      </c>
      <c r="B25" s="248" t="s">
        <v>389</v>
      </c>
      <c r="C25" s="246"/>
      <c r="D25" s="247"/>
      <c r="E25" s="246"/>
      <c r="F25" s="245"/>
      <c r="G25" s="246"/>
    </row>
    <row r="26" spans="1:7" s="93" customFormat="1" ht="12.75" customHeight="1">
      <c r="A26" s="204">
        <f t="shared" si="0"/>
        <v>10</v>
      </c>
      <c r="B26" s="248" t="s">
        <v>390</v>
      </c>
      <c r="C26" s="246">
        <v>32100</v>
      </c>
      <c r="D26" s="247"/>
      <c r="E26" s="246">
        <f>C26</f>
        <v>32100</v>
      </c>
      <c r="F26" s="245"/>
      <c r="G26" s="246">
        <f>E26</f>
        <v>32100</v>
      </c>
    </row>
    <row r="27" spans="1:7" s="93" customFormat="1" ht="12.75" customHeight="1">
      <c r="A27" s="204">
        <f t="shared" si="0"/>
        <v>11</v>
      </c>
      <c r="B27" s="248" t="s">
        <v>391</v>
      </c>
      <c r="C27" s="246">
        <v>15000</v>
      </c>
      <c r="D27" s="247"/>
      <c r="E27" s="246">
        <f>C27</f>
        <v>15000</v>
      </c>
      <c r="F27" s="245"/>
      <c r="G27" s="246">
        <f>E27</f>
        <v>15000</v>
      </c>
    </row>
    <row r="28" spans="1:7" s="93" customFormat="1" ht="12.75" customHeight="1">
      <c r="A28" s="204">
        <f t="shared" si="0"/>
        <v>12</v>
      </c>
      <c r="B28" s="248" t="s">
        <v>392</v>
      </c>
      <c r="C28" s="246">
        <v>2000</v>
      </c>
      <c r="D28" s="247"/>
      <c r="E28" s="246">
        <f>C28</f>
        <v>2000</v>
      </c>
      <c r="F28" s="245"/>
      <c r="G28" s="246">
        <f>E28</f>
        <v>2000</v>
      </c>
    </row>
    <row r="29" spans="1:7" s="93" customFormat="1" ht="12.75" customHeight="1">
      <c r="A29" s="204">
        <f t="shared" si="0"/>
        <v>13</v>
      </c>
      <c r="B29" s="248" t="s">
        <v>393</v>
      </c>
      <c r="C29" s="246">
        <v>20000</v>
      </c>
      <c r="D29" s="247"/>
      <c r="E29" s="246">
        <f>C29</f>
        <v>20000</v>
      </c>
      <c r="F29" s="245"/>
      <c r="G29" s="246">
        <f>E29</f>
        <v>20000</v>
      </c>
    </row>
    <row r="30" spans="1:7" s="93" customFormat="1" ht="12.75" customHeight="1">
      <c r="A30" s="204"/>
      <c r="B30" s="69"/>
      <c r="C30" s="246"/>
      <c r="D30" s="247"/>
      <c r="E30" s="246"/>
      <c r="F30" s="245"/>
      <c r="G30" s="246"/>
    </row>
    <row r="31" spans="1:7" s="93" customFormat="1" ht="12.75" customHeight="1">
      <c r="A31" s="204"/>
      <c r="B31" s="100" t="s">
        <v>394</v>
      </c>
      <c r="C31" s="246"/>
      <c r="D31" s="247"/>
      <c r="E31" s="246"/>
      <c r="F31" s="245"/>
      <c r="G31" s="246"/>
    </row>
    <row r="32" spans="1:7" s="93" customFormat="1" ht="12.75" customHeight="1">
      <c r="A32" s="204"/>
      <c r="B32" s="248"/>
      <c r="C32" s="246"/>
      <c r="D32" s="247"/>
      <c r="E32" s="246"/>
      <c r="F32" s="245"/>
      <c r="G32" s="246"/>
    </row>
    <row r="33" spans="1:7" s="93" customFormat="1" ht="12.75" customHeight="1">
      <c r="A33" s="204">
        <f t="shared" ref="A33:A64" si="1">A32+1</f>
        <v>1</v>
      </c>
      <c r="B33" s="248" t="s">
        <v>395</v>
      </c>
      <c r="C33" s="246"/>
      <c r="D33" s="247"/>
      <c r="E33" s="246"/>
      <c r="F33" s="245"/>
      <c r="G33" s="246"/>
    </row>
    <row r="34" spans="1:7" s="93" customFormat="1" ht="12.75" customHeight="1">
      <c r="A34" s="204">
        <f t="shared" si="1"/>
        <v>2</v>
      </c>
      <c r="B34" s="248" t="s">
        <v>396</v>
      </c>
      <c r="C34" s="246">
        <v>10000</v>
      </c>
      <c r="D34" s="247"/>
      <c r="E34" s="246">
        <v>0</v>
      </c>
      <c r="F34" s="245"/>
      <c r="G34" s="246">
        <v>0</v>
      </c>
    </row>
    <row r="35" spans="1:7" s="93" customFormat="1" ht="12.75" customHeight="1">
      <c r="A35" s="204">
        <f t="shared" si="1"/>
        <v>3</v>
      </c>
      <c r="B35" s="248" t="s">
        <v>397</v>
      </c>
      <c r="C35" s="246">
        <v>8600</v>
      </c>
      <c r="D35" s="247"/>
      <c r="E35" s="246">
        <v>0</v>
      </c>
      <c r="F35" s="245"/>
      <c r="G35" s="246">
        <v>0</v>
      </c>
    </row>
    <row r="36" spans="1:7" s="93" customFormat="1" ht="12.75" customHeight="1">
      <c r="A36" s="204">
        <f t="shared" si="1"/>
        <v>4</v>
      </c>
      <c r="B36" s="248"/>
      <c r="C36" s="246"/>
      <c r="D36" s="247"/>
      <c r="E36" s="246"/>
      <c r="F36" s="245"/>
      <c r="G36" s="246"/>
    </row>
    <row r="37" spans="1:7" s="93" customFormat="1" ht="12.75" customHeight="1">
      <c r="A37" s="204">
        <f t="shared" si="1"/>
        <v>5</v>
      </c>
      <c r="B37" s="248" t="s">
        <v>398</v>
      </c>
      <c r="C37" s="246"/>
      <c r="D37" s="247"/>
      <c r="E37" s="246"/>
      <c r="F37" s="245"/>
      <c r="G37" s="246"/>
    </row>
    <row r="38" spans="1:7" s="93" customFormat="1" ht="12.75" customHeight="1">
      <c r="A38" s="204">
        <f t="shared" si="1"/>
        <v>6</v>
      </c>
      <c r="B38" s="248" t="s">
        <v>396</v>
      </c>
      <c r="C38" s="246">
        <v>44390</v>
      </c>
      <c r="D38" s="247"/>
      <c r="E38" s="246">
        <v>0</v>
      </c>
      <c r="F38" s="245"/>
      <c r="G38" s="246">
        <v>0</v>
      </c>
    </row>
    <row r="39" spans="1:7" s="93" customFormat="1" ht="12.75" customHeight="1">
      <c r="A39" s="204">
        <f t="shared" si="1"/>
        <v>7</v>
      </c>
      <c r="B39" s="248" t="s">
        <v>397</v>
      </c>
      <c r="C39" s="246">
        <v>48040</v>
      </c>
      <c r="D39" s="247"/>
      <c r="E39" s="246">
        <v>0</v>
      </c>
      <c r="F39" s="245"/>
      <c r="G39" s="246">
        <v>0</v>
      </c>
    </row>
    <row r="40" spans="1:7" s="93" customFormat="1" ht="12.75" customHeight="1">
      <c r="A40" s="204">
        <f t="shared" si="1"/>
        <v>8</v>
      </c>
      <c r="B40" s="248" t="s">
        <v>399</v>
      </c>
      <c r="C40" s="246">
        <v>73490</v>
      </c>
      <c r="D40" s="247"/>
      <c r="E40" s="246">
        <v>0</v>
      </c>
      <c r="F40" s="245"/>
      <c r="G40" s="246">
        <v>0</v>
      </c>
    </row>
    <row r="41" spans="1:7" s="93" customFormat="1" ht="12.75" customHeight="1">
      <c r="A41" s="204">
        <f t="shared" si="1"/>
        <v>9</v>
      </c>
      <c r="B41" s="248"/>
      <c r="C41" s="246"/>
      <c r="D41" s="247"/>
      <c r="E41" s="246"/>
      <c r="F41" s="245"/>
      <c r="G41" s="246"/>
    </row>
    <row r="42" spans="1:7" s="93" customFormat="1" ht="12.75" customHeight="1">
      <c r="A42" s="204">
        <f t="shared" si="1"/>
        <v>10</v>
      </c>
      <c r="B42" s="248" t="s">
        <v>400</v>
      </c>
      <c r="C42" s="246"/>
      <c r="D42" s="247"/>
      <c r="E42" s="246"/>
      <c r="F42" s="245"/>
      <c r="G42" s="246"/>
    </row>
    <row r="43" spans="1:7" s="93" customFormat="1" ht="12.75" customHeight="1">
      <c r="A43" s="204">
        <f t="shared" si="1"/>
        <v>11</v>
      </c>
      <c r="B43" s="248" t="s">
        <v>396</v>
      </c>
      <c r="C43" s="246">
        <v>18500</v>
      </c>
      <c r="D43" s="247"/>
      <c r="E43" s="246">
        <v>0</v>
      </c>
      <c r="F43" s="245"/>
      <c r="G43" s="246">
        <v>0</v>
      </c>
    </row>
    <row r="44" spans="1:7" s="93" customFormat="1" ht="12.75" customHeight="1">
      <c r="A44" s="204">
        <f t="shared" si="1"/>
        <v>12</v>
      </c>
      <c r="B44" s="248" t="s">
        <v>397</v>
      </c>
      <c r="C44" s="246">
        <v>20020</v>
      </c>
      <c r="D44" s="247"/>
      <c r="E44" s="246">
        <v>0</v>
      </c>
      <c r="F44" s="245"/>
      <c r="G44" s="246">
        <v>0</v>
      </c>
    </row>
    <row r="45" spans="1:7" s="93" customFormat="1" ht="12.75" customHeight="1">
      <c r="A45" s="204">
        <f t="shared" si="1"/>
        <v>13</v>
      </c>
      <c r="B45" s="248" t="s">
        <v>399</v>
      </c>
      <c r="C45" s="246">
        <v>30620</v>
      </c>
      <c r="D45" s="247"/>
      <c r="E45" s="246">
        <v>0</v>
      </c>
      <c r="F45" s="245"/>
      <c r="G45" s="246">
        <v>0</v>
      </c>
    </row>
    <row r="46" spans="1:7" s="93" customFormat="1" ht="12.75" customHeight="1">
      <c r="A46" s="204">
        <f t="shared" si="1"/>
        <v>14</v>
      </c>
      <c r="B46" s="248"/>
      <c r="C46" s="246"/>
      <c r="D46" s="247"/>
      <c r="E46" s="246"/>
      <c r="F46" s="245"/>
      <c r="G46" s="246"/>
    </row>
    <row r="47" spans="1:7" s="93" customFormat="1" ht="12.75" customHeight="1">
      <c r="A47" s="204">
        <f t="shared" si="1"/>
        <v>15</v>
      </c>
      <c r="B47" s="248" t="s">
        <v>401</v>
      </c>
      <c r="C47" s="246">
        <v>16000</v>
      </c>
      <c r="D47" s="247"/>
      <c r="E47" s="246">
        <v>0</v>
      </c>
      <c r="F47" s="245"/>
      <c r="G47" s="246">
        <v>16000</v>
      </c>
    </row>
    <row r="48" spans="1:7" s="93" customFormat="1" ht="12.75" customHeight="1">
      <c r="A48" s="204">
        <f t="shared" si="1"/>
        <v>16</v>
      </c>
      <c r="B48" s="248"/>
      <c r="C48" s="246"/>
      <c r="D48" s="247"/>
      <c r="E48" s="246"/>
      <c r="F48" s="245"/>
      <c r="G48" s="246"/>
    </row>
    <row r="49" spans="1:7" s="93" customFormat="1" ht="12.75" customHeight="1">
      <c r="A49" s="204">
        <f t="shared" si="1"/>
        <v>17</v>
      </c>
      <c r="B49" s="248" t="s">
        <v>402</v>
      </c>
      <c r="C49" s="246">
        <v>20000</v>
      </c>
      <c r="D49" s="247"/>
      <c r="E49" s="246"/>
      <c r="F49" s="245"/>
      <c r="G49" s="246"/>
    </row>
    <row r="50" spans="1:7" s="93" customFormat="1" ht="12.75" customHeight="1">
      <c r="A50" s="204">
        <f t="shared" si="1"/>
        <v>18</v>
      </c>
      <c r="B50" s="248"/>
      <c r="C50" s="246"/>
      <c r="D50" s="247"/>
      <c r="E50" s="246"/>
      <c r="F50" s="245"/>
      <c r="G50" s="246"/>
    </row>
    <row r="51" spans="1:7" s="93" customFormat="1" ht="12.75" customHeight="1">
      <c r="A51" s="204">
        <f t="shared" si="1"/>
        <v>19</v>
      </c>
      <c r="B51" s="248" t="s">
        <v>403</v>
      </c>
      <c r="C51" s="246"/>
      <c r="D51" s="247"/>
      <c r="E51" s="246"/>
      <c r="F51" s="245"/>
      <c r="G51" s="246"/>
    </row>
    <row r="52" spans="1:7" s="93" customFormat="1" ht="12.75" customHeight="1">
      <c r="A52" s="204">
        <f t="shared" si="1"/>
        <v>20</v>
      </c>
      <c r="B52" s="248" t="s">
        <v>404</v>
      </c>
      <c r="C52" s="246">
        <v>7500</v>
      </c>
      <c r="D52" s="247"/>
      <c r="E52" s="246">
        <v>0</v>
      </c>
      <c r="F52" s="245"/>
      <c r="G52" s="246">
        <v>7500</v>
      </c>
    </row>
    <row r="53" spans="1:7" s="93" customFormat="1" ht="12.75" customHeight="1">
      <c r="A53" s="204">
        <f t="shared" si="1"/>
        <v>21</v>
      </c>
      <c r="B53" s="248" t="s">
        <v>405</v>
      </c>
      <c r="C53" s="246">
        <v>50000</v>
      </c>
      <c r="D53" s="247"/>
      <c r="E53" s="246">
        <v>0</v>
      </c>
      <c r="F53" s="245"/>
      <c r="G53" s="246">
        <v>0</v>
      </c>
    </row>
    <row r="54" spans="1:7" s="93" customFormat="1" ht="12.75" customHeight="1">
      <c r="A54" s="204">
        <f t="shared" si="1"/>
        <v>22</v>
      </c>
      <c r="B54" s="248"/>
      <c r="C54" s="246"/>
      <c r="D54" s="247"/>
      <c r="E54" s="246"/>
      <c r="F54" s="245"/>
      <c r="G54" s="246"/>
    </row>
    <row r="55" spans="1:7" s="93" customFormat="1" ht="12.75" customHeight="1">
      <c r="A55" s="204">
        <f t="shared" si="1"/>
        <v>23</v>
      </c>
      <c r="B55" s="248" t="s">
        <v>406</v>
      </c>
      <c r="C55" s="246"/>
      <c r="D55" s="247"/>
      <c r="E55" s="246"/>
      <c r="F55" s="245"/>
      <c r="G55" s="246"/>
    </row>
    <row r="56" spans="1:7" s="93" customFormat="1" ht="12.75" customHeight="1">
      <c r="A56" s="204">
        <f t="shared" si="1"/>
        <v>24</v>
      </c>
      <c r="B56" s="248" t="s">
        <v>396</v>
      </c>
      <c r="C56" s="246">
        <v>155000</v>
      </c>
      <c r="D56" s="247"/>
      <c r="E56" s="246">
        <v>0</v>
      </c>
      <c r="F56" s="245"/>
      <c r="G56" s="246">
        <v>0</v>
      </c>
    </row>
    <row r="57" spans="1:7" s="93" customFormat="1" ht="12.75" customHeight="1">
      <c r="A57" s="204">
        <f t="shared" si="1"/>
        <v>25</v>
      </c>
      <c r="B57" s="248" t="s">
        <v>397</v>
      </c>
      <c r="C57" s="246">
        <v>168000</v>
      </c>
      <c r="D57" s="247"/>
      <c r="E57" s="246">
        <v>0</v>
      </c>
      <c r="F57" s="245"/>
      <c r="G57" s="246">
        <v>0</v>
      </c>
    </row>
    <row r="58" spans="1:7" s="93" customFormat="1" ht="12.75" customHeight="1">
      <c r="A58" s="204">
        <f t="shared" si="1"/>
        <v>26</v>
      </c>
      <c r="B58" s="248" t="s">
        <v>399</v>
      </c>
      <c r="C58" s="246">
        <v>220000</v>
      </c>
      <c r="D58" s="247"/>
      <c r="E58" s="246">
        <v>0</v>
      </c>
      <c r="F58" s="245"/>
      <c r="G58" s="246">
        <v>0</v>
      </c>
    </row>
    <row r="59" spans="1:7" s="93" customFormat="1" ht="12.75" customHeight="1">
      <c r="A59" s="204">
        <f t="shared" si="1"/>
        <v>27</v>
      </c>
      <c r="B59" s="248"/>
      <c r="C59" s="246"/>
      <c r="D59" s="247"/>
      <c r="E59" s="246"/>
      <c r="F59" s="245"/>
      <c r="G59" s="246"/>
    </row>
    <row r="60" spans="1:7" s="93" customFormat="1" ht="12.75" customHeight="1">
      <c r="A60" s="204">
        <f t="shared" si="1"/>
        <v>28</v>
      </c>
      <c r="B60" s="248" t="s">
        <v>407</v>
      </c>
      <c r="C60" s="246"/>
      <c r="D60" s="247"/>
      <c r="E60" s="246"/>
      <c r="F60" s="245"/>
      <c r="G60" s="246"/>
    </row>
    <row r="61" spans="1:7" s="93" customFormat="1" ht="12.75" customHeight="1">
      <c r="A61" s="204">
        <f t="shared" si="1"/>
        <v>29</v>
      </c>
      <c r="B61" s="248"/>
      <c r="C61" s="246"/>
      <c r="D61" s="247"/>
      <c r="E61" s="246"/>
      <c r="F61" s="245"/>
      <c r="G61" s="246"/>
    </row>
    <row r="62" spans="1:7" s="93" customFormat="1" ht="12.75" customHeight="1">
      <c r="A62" s="204">
        <f t="shared" si="1"/>
        <v>30</v>
      </c>
      <c r="B62" s="248" t="s">
        <v>408</v>
      </c>
      <c r="C62" s="246">
        <v>24000</v>
      </c>
      <c r="D62" s="247"/>
      <c r="E62" s="246">
        <v>0</v>
      </c>
      <c r="F62" s="245"/>
      <c r="G62" s="246">
        <v>0</v>
      </c>
    </row>
    <row r="63" spans="1:7" s="93" customFormat="1" ht="12.75" customHeight="1">
      <c r="A63" s="204">
        <f t="shared" si="1"/>
        <v>31</v>
      </c>
      <c r="B63" s="248" t="s">
        <v>409</v>
      </c>
      <c r="C63" s="246">
        <v>36000</v>
      </c>
      <c r="D63" s="247"/>
      <c r="E63" s="244"/>
      <c r="F63" s="245"/>
      <c r="G63" s="244"/>
    </row>
    <row r="64" spans="1:7" s="93" customFormat="1" ht="12.75" customHeight="1">
      <c r="A64" s="204">
        <f t="shared" si="1"/>
        <v>32</v>
      </c>
      <c r="B64" s="248" t="s">
        <v>410</v>
      </c>
      <c r="C64" s="246">
        <v>46000</v>
      </c>
      <c r="D64" s="247"/>
      <c r="E64" s="244"/>
      <c r="F64" s="245"/>
      <c r="G64" s="244"/>
    </row>
    <row r="65" spans="1:7" s="93" customFormat="1" ht="12.75" customHeight="1" thickBot="1">
      <c r="A65" s="204"/>
      <c r="B65" s="248"/>
      <c r="C65" s="246"/>
      <c r="D65" s="247"/>
      <c r="E65" s="244"/>
      <c r="F65" s="245"/>
      <c r="G65" s="244"/>
    </row>
    <row r="66" spans="1:7" s="93" customFormat="1" ht="14.45" thickBot="1">
      <c r="A66" s="249"/>
      <c r="B66" s="99"/>
      <c r="C66" s="250"/>
      <c r="D66" s="245"/>
      <c r="E66" s="101">
        <f>SUM(E13:E65)</f>
        <v>327600</v>
      </c>
      <c r="F66" s="245"/>
      <c r="G66" s="101">
        <f>SUM(G13:G65)</f>
        <v>351100</v>
      </c>
    </row>
    <row r="68" spans="1:7">
      <c r="E68">
        <v>298000</v>
      </c>
      <c r="G68">
        <f>E68</f>
        <v>298000</v>
      </c>
    </row>
    <row r="70" spans="1:7">
      <c r="B70" t="s">
        <v>411</v>
      </c>
      <c r="E70" s="55">
        <f>E66-E68</f>
        <v>29600</v>
      </c>
      <c r="G70" s="55">
        <f>G66-G68</f>
        <v>53100</v>
      </c>
    </row>
  </sheetData>
  <phoneticPr fontId="2" type="noConversion"/>
  <pageMargins left="0.75" right="0.75" top="1" bottom="1" header="0.5" footer="0.5"/>
  <pageSetup paperSize="9"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7F1C2F6F98445ACA2F05C16BE15AA" ma:contentTypeVersion="3" ma:contentTypeDescription="Create a new document." ma:contentTypeScope="" ma:versionID="6ba7bfe59e1e21dd038e2198d546cd89">
  <xsd:schema xmlns:xsd="http://www.w3.org/2001/XMLSchema" xmlns:xs="http://www.w3.org/2001/XMLSchema" xmlns:p="http://schemas.microsoft.com/office/2006/metadata/properties" xmlns:ns2="fabd0295-6fe6-455d-b3d0-47930fa05df8" targetNamespace="http://schemas.microsoft.com/office/2006/metadata/properties" ma:root="true" ma:fieldsID="8ef86b80cd5edca12fea5c44c2cf8942" ns2:_="">
    <xsd:import namespace="fabd0295-6fe6-455d-b3d0-47930fa05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d0295-6fe6-455d-b3d0-47930fa05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D39D20-9AE4-427B-87E8-20CC9F27573D}"/>
</file>

<file path=customXml/itemProps2.xml><?xml version="1.0" encoding="utf-8"?>
<ds:datastoreItem xmlns:ds="http://schemas.openxmlformats.org/officeDocument/2006/customXml" ds:itemID="{D33B5285-9B2B-4FFB-95E9-3CCBECBD0332}"/>
</file>

<file path=customXml/itemProps3.xml><?xml version="1.0" encoding="utf-8"?>
<ds:datastoreItem xmlns:ds="http://schemas.openxmlformats.org/officeDocument/2006/customXml" ds:itemID="{3764BF5F-3AFC-460B-A7AA-918DFC3CE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Pendle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Langton</dc:creator>
  <cp:keywords/>
  <dc:description/>
  <cp:lastModifiedBy>Karen Spencer</cp:lastModifiedBy>
  <cp:revision/>
  <dcterms:created xsi:type="dcterms:W3CDTF">2011-01-20T08:38:07Z</dcterms:created>
  <dcterms:modified xsi:type="dcterms:W3CDTF">2026-02-12T12:52:00Z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0x0101008097F1C2F6F98445ACA2F05C16BE15AA</vt:lpwstr>
  </property>
</Properties>
</file>